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056"/>
  </bookViews>
  <sheets>
    <sheet name="DW" sheetId="1" r:id="rId1"/>
    <sheet name="Major Centers" sheetId="2" r:id="rId2"/>
  </sheets>
  <externalReferences>
    <externalReference r:id="rId3"/>
  </externalReferences>
  <definedNames>
    <definedName name="DD" localSheetId="1">'[1]320 Annual - CUSHION'!#REF!</definedName>
    <definedName name="DD">'[1]320 Annual - CUSHION'!#REF!</definedName>
    <definedName name="ddt">'[1]320 Annual - CUSHION'!$D$67</definedName>
    <definedName name="DISWE">'[1]320 Annual - CUSHION'!#REF!</definedName>
    <definedName name="dit">'[1]320 Annual - CUSHION'!$E$67</definedName>
    <definedName name="fte">'[1]320 Annual - CUSHION'!$B$70</definedName>
    <definedName name="PCR">'[1]320 Annual - CUSHION'!#REF!</definedName>
    <definedName name="PNCR">'[1]320 Annual - CUSHION'!#REF!</definedName>
    <definedName name="pnct">'[1]320 Annual - CUSHION'!$G$67</definedName>
    <definedName name="_xlnm.Print_Area" localSheetId="0">DW!$A$1:$L$68</definedName>
    <definedName name="_xlnm.Print_Area" localSheetId="1">'Major Centers'!$A$1:$U$81</definedName>
    <definedName name="rdd">'[1]320 Annual - CUSHION'!$D$69</definedName>
    <definedName name="rdi">'[1]320 Annual - CUSHION'!$E$69</definedName>
    <definedName name="rp">'[1]320 Annual - CUSHION'!$F$69</definedName>
    <definedName name="rpn">'[1]320 Annual - CUSHION'!$G$69</definedName>
    <definedName name="rt">'[1]320 Annual - CUSHION'!$F$67</definedName>
    <definedName name="rw">'[1]320 Annual - CUSHION'!$I$69</definedName>
    <definedName name="rwi">'[1]320 Annual - CUSHION'!$H$69</definedName>
    <definedName name="W">'[1]320 Annual - CUSHION'!#REF!</definedName>
    <definedName name="WISWE">'[1]320 Annual - CUSHION'!#REF!</definedName>
    <definedName name="wit">'[1]320 Annual - CUSHION'!$H$67</definedName>
    <definedName name="wt">'[1]320 Annual - CUSHION'!$I$67</definedName>
  </definedNames>
  <calcPr calcId="145621"/>
</workbook>
</file>

<file path=xl/calcChain.xml><?xml version="1.0" encoding="utf-8"?>
<calcChain xmlns="http://schemas.openxmlformats.org/spreadsheetml/2006/main">
  <c r="R72" i="2" l="1"/>
  <c r="Q66" i="2"/>
  <c r="P66" i="2"/>
  <c r="R66" i="2" s="1"/>
  <c r="R62" i="2"/>
  <c r="M59" i="2"/>
  <c r="L59" i="2"/>
  <c r="F59" i="2"/>
  <c r="Q55" i="2"/>
  <c r="R55" i="2" s="1"/>
  <c r="P55" i="2"/>
  <c r="M55" i="2"/>
  <c r="J55" i="2"/>
  <c r="L55" i="2"/>
  <c r="F55" i="2"/>
  <c r="T55" i="2"/>
  <c r="D69" i="2"/>
  <c r="Q53" i="2"/>
  <c r="Q54" i="2" s="1"/>
  <c r="Q61" i="2" s="1"/>
  <c r="P53" i="2"/>
  <c r="P54" i="2" s="1"/>
  <c r="J53" i="2"/>
  <c r="F53" i="2"/>
  <c r="T52" i="2"/>
  <c r="S52" i="2"/>
  <c r="R52" i="2"/>
  <c r="M52" i="2"/>
  <c r="L52" i="2"/>
  <c r="J52" i="2"/>
  <c r="I62" i="2"/>
  <c r="H62" i="2"/>
  <c r="J62" i="2" s="1"/>
  <c r="F52" i="2"/>
  <c r="U52" i="2" s="1"/>
  <c r="R51" i="2"/>
  <c r="Q51" i="2"/>
  <c r="P51" i="2"/>
  <c r="R48" i="2"/>
  <c r="E48" i="2"/>
  <c r="T48" i="2" s="1"/>
  <c r="D48" i="2"/>
  <c r="S48" i="2" s="1"/>
  <c r="R46" i="2"/>
  <c r="S45" i="2"/>
  <c r="R45" i="2"/>
  <c r="Q45" i="2"/>
  <c r="T45" i="2" s="1"/>
  <c r="P45" i="2"/>
  <c r="M45" i="2"/>
  <c r="J45" i="2"/>
  <c r="L45" i="2"/>
  <c r="F45" i="2"/>
  <c r="U45" i="2" s="1"/>
  <c r="M42" i="2"/>
  <c r="I69" i="2"/>
  <c r="H69" i="2"/>
  <c r="F42" i="2"/>
  <c r="P41" i="2"/>
  <c r="S40" i="2"/>
  <c r="R40" i="2"/>
  <c r="U40" i="2" s="1"/>
  <c r="Q40" i="2"/>
  <c r="Q41" i="2" s="1"/>
  <c r="P40" i="2"/>
  <c r="R39" i="2"/>
  <c r="M39" i="2"/>
  <c r="L39" i="2"/>
  <c r="J39" i="2"/>
  <c r="F39" i="2"/>
  <c r="R38" i="2"/>
  <c r="Q38" i="2"/>
  <c r="Q47" i="2" s="1"/>
  <c r="P38" i="2"/>
  <c r="P47" i="2" s="1"/>
  <c r="R35" i="2"/>
  <c r="I35" i="2"/>
  <c r="D35" i="2"/>
  <c r="S35" i="2" s="1"/>
  <c r="R32" i="2"/>
  <c r="Q32" i="2"/>
  <c r="P32" i="2"/>
  <c r="L32" i="2"/>
  <c r="H35" i="2"/>
  <c r="F32" i="2"/>
  <c r="E35" i="2"/>
  <c r="Q31" i="2"/>
  <c r="P31" i="2"/>
  <c r="R31" i="2" s="1"/>
  <c r="R30" i="2"/>
  <c r="M29" i="2"/>
  <c r="L29" i="2"/>
  <c r="J29" i="2"/>
  <c r="F29" i="2"/>
  <c r="Q28" i="2"/>
  <c r="Q34" i="2" s="1"/>
  <c r="P28" i="2"/>
  <c r="P34" i="2" s="1"/>
  <c r="R25" i="2"/>
  <c r="R22" i="2"/>
  <c r="Q22" i="2"/>
  <c r="P22" i="2"/>
  <c r="L22" i="2"/>
  <c r="J22" i="2"/>
  <c r="F22" i="2"/>
  <c r="R21" i="2"/>
  <c r="Q21" i="2"/>
  <c r="P21" i="2"/>
  <c r="J21" i="2"/>
  <c r="T21" i="2"/>
  <c r="Q18" i="2"/>
  <c r="P18" i="2"/>
  <c r="R18" i="2" s="1"/>
  <c r="M18" i="2"/>
  <c r="L18" i="2"/>
  <c r="J18" i="2"/>
  <c r="F18" i="2"/>
  <c r="N18" i="2" s="1"/>
  <c r="P17" i="2"/>
  <c r="S16" i="2"/>
  <c r="Q16" i="2"/>
  <c r="P16" i="2"/>
  <c r="R16" i="2" s="1"/>
  <c r="U16" i="2" s="1"/>
  <c r="R15" i="2"/>
  <c r="Q14" i="2"/>
  <c r="P14" i="2"/>
  <c r="R14" i="2" s="1"/>
  <c r="H7" i="2"/>
  <c r="H10" i="2" s="1"/>
  <c r="A4" i="2"/>
  <c r="D7" i="2" s="1"/>
  <c r="D10" i="2" s="1"/>
  <c r="E58" i="1"/>
  <c r="H54" i="1"/>
  <c r="I54" i="1" s="1"/>
  <c r="G54" i="1"/>
  <c r="D54" i="1"/>
  <c r="B54" i="1"/>
  <c r="B53" i="1"/>
  <c r="B52" i="1"/>
  <c r="K48" i="1"/>
  <c r="H48" i="1"/>
  <c r="H58" i="1" s="1"/>
  <c r="G48" i="1"/>
  <c r="I48" i="1" s="1"/>
  <c r="E48" i="1"/>
  <c r="D48" i="1"/>
  <c r="J48" i="1" s="1"/>
  <c r="J44" i="1"/>
  <c r="I44" i="1"/>
  <c r="H44" i="1"/>
  <c r="G44" i="1"/>
  <c r="E44" i="1"/>
  <c r="K44" i="1" s="1"/>
  <c r="D44" i="1"/>
  <c r="B44" i="1"/>
  <c r="B43" i="1"/>
  <c r="K39" i="1"/>
  <c r="J39" i="1"/>
  <c r="I39" i="1"/>
  <c r="F39" i="1"/>
  <c r="L39" i="1" s="1"/>
  <c r="H35" i="1"/>
  <c r="I35" i="1" s="1"/>
  <c r="G35" i="1"/>
  <c r="D35" i="1"/>
  <c r="J35" i="1" s="1"/>
  <c r="B35" i="1"/>
  <c r="B34" i="1"/>
  <c r="K30" i="1"/>
  <c r="J30" i="1"/>
  <c r="I30" i="1"/>
  <c r="F30" i="1"/>
  <c r="L30" i="1" s="1"/>
  <c r="H26" i="1"/>
  <c r="H53" i="1" s="1"/>
  <c r="G26" i="1"/>
  <c r="G53" i="1" s="1"/>
  <c r="B26" i="1"/>
  <c r="B25" i="1"/>
  <c r="K21" i="1"/>
  <c r="G21" i="1"/>
  <c r="F21" i="1"/>
  <c r="D21" i="1"/>
  <c r="J21" i="1" s="1"/>
  <c r="I17" i="1"/>
  <c r="E17" i="1"/>
  <c r="E54" i="1" s="1"/>
  <c r="F54" i="1" s="1"/>
  <c r="D17" i="1"/>
  <c r="I16" i="1"/>
  <c r="K16" i="1"/>
  <c r="H10" i="1"/>
  <c r="G10" i="1"/>
  <c r="E10" i="1"/>
  <c r="D10" i="1"/>
  <c r="D9" i="1"/>
  <c r="G9" i="1" s="1"/>
  <c r="J7" i="2" s="1"/>
  <c r="E8" i="1"/>
  <c r="E7" i="2" s="1"/>
  <c r="D8" i="1"/>
  <c r="G8" i="1" s="1"/>
  <c r="H8" i="2" s="1"/>
  <c r="G5" i="1"/>
  <c r="N39" i="2" l="1"/>
  <c r="J35" i="2"/>
  <c r="N29" i="2"/>
  <c r="L69" i="2"/>
  <c r="E19" i="1"/>
  <c r="K14" i="1"/>
  <c r="E51" i="1"/>
  <c r="F14" i="1"/>
  <c r="J15" i="1"/>
  <c r="F15" i="1"/>
  <c r="I15" i="1"/>
  <c r="J25" i="1"/>
  <c r="I25" i="1"/>
  <c r="G37" i="1"/>
  <c r="K34" i="1"/>
  <c r="J42" i="1"/>
  <c r="D46" i="1"/>
  <c r="I42" i="1"/>
  <c r="H46" i="1"/>
  <c r="H65" i="2"/>
  <c r="G28" i="1"/>
  <c r="G52" i="1"/>
  <c r="D65" i="2"/>
  <c r="L14" i="2"/>
  <c r="S14" i="2"/>
  <c r="I65" i="2"/>
  <c r="J14" i="2"/>
  <c r="E68" i="2"/>
  <c r="E24" i="2"/>
  <c r="M17" i="2"/>
  <c r="F17" i="2"/>
  <c r="K15" i="1"/>
  <c r="J33" i="1"/>
  <c r="D37" i="1"/>
  <c r="J37" i="1" s="1"/>
  <c r="K42" i="1"/>
  <c r="E46" i="1"/>
  <c r="F42" i="1"/>
  <c r="G19" i="1"/>
  <c r="G51" i="1"/>
  <c r="J24" i="1"/>
  <c r="H28" i="1"/>
  <c r="I24" i="1"/>
  <c r="F33" i="1"/>
  <c r="K33" i="1"/>
  <c r="D52" i="1"/>
  <c r="J43" i="1"/>
  <c r="F43" i="1"/>
  <c r="I43" i="1"/>
  <c r="H52" i="1"/>
  <c r="E65" i="2"/>
  <c r="F14" i="2"/>
  <c r="T14" i="2"/>
  <c r="M14" i="2"/>
  <c r="K25" i="1"/>
  <c r="F25" i="1"/>
  <c r="L25" i="1" s="1"/>
  <c r="H37" i="1"/>
  <c r="I33" i="1"/>
  <c r="D51" i="1"/>
  <c r="D19" i="1"/>
  <c r="J14" i="1"/>
  <c r="H51" i="1"/>
  <c r="H19" i="1"/>
  <c r="I14" i="1"/>
  <c r="I19" i="1" s="1"/>
  <c r="F24" i="1"/>
  <c r="K24" i="1"/>
  <c r="F34" i="1"/>
  <c r="J34" i="1"/>
  <c r="I34" i="1"/>
  <c r="G46" i="1"/>
  <c r="E52" i="1"/>
  <c r="K43" i="1"/>
  <c r="H34" i="2"/>
  <c r="L38" i="2"/>
  <c r="D47" i="2"/>
  <c r="S38" i="2"/>
  <c r="J38" i="2"/>
  <c r="I47" i="2"/>
  <c r="M41" i="2"/>
  <c r="F41" i="2"/>
  <c r="T41" i="2"/>
  <c r="L51" i="2"/>
  <c r="D61" i="2"/>
  <c r="S51" i="2"/>
  <c r="J51" i="2"/>
  <c r="I61" i="2"/>
  <c r="L58" i="2"/>
  <c r="J58" i="2"/>
  <c r="H24" i="2"/>
  <c r="H68" i="2"/>
  <c r="L28" i="2"/>
  <c r="S28" i="2"/>
  <c r="D34" i="2"/>
  <c r="J28" i="2"/>
  <c r="I34" i="2"/>
  <c r="M38" i="2"/>
  <c r="F38" i="2"/>
  <c r="E47" i="2"/>
  <c r="T38" i="2"/>
  <c r="L44" i="2"/>
  <c r="J44" i="2"/>
  <c r="M51" i="2"/>
  <c r="F51" i="2"/>
  <c r="E61" i="2"/>
  <c r="T51" i="2"/>
  <c r="M58" i="2"/>
  <c r="F58" i="2"/>
  <c r="D68" i="2"/>
  <c r="S17" i="2"/>
  <c r="D24" i="2"/>
  <c r="L17" i="2"/>
  <c r="I68" i="2"/>
  <c r="I24" i="2"/>
  <c r="J17" i="2"/>
  <c r="F28" i="2"/>
  <c r="T28" i="2"/>
  <c r="E34" i="2"/>
  <c r="M28" i="2"/>
  <c r="S31" i="2"/>
  <c r="L31" i="2"/>
  <c r="J31" i="2"/>
  <c r="F44" i="2"/>
  <c r="N44" i="2" s="1"/>
  <c r="M44" i="2"/>
  <c r="S54" i="2"/>
  <c r="L54" i="2"/>
  <c r="J54" i="2"/>
  <c r="T31" i="2"/>
  <c r="M31" i="2"/>
  <c r="F31" i="2"/>
  <c r="H47" i="2"/>
  <c r="J47" i="2" s="1"/>
  <c r="S41" i="2"/>
  <c r="L41" i="2"/>
  <c r="J41" i="2"/>
  <c r="H61" i="2"/>
  <c r="J61" i="2" s="1"/>
  <c r="T54" i="2"/>
  <c r="M54" i="2"/>
  <c r="F54" i="2"/>
  <c r="K58" i="1"/>
  <c r="H25" i="2"/>
  <c r="H66" i="2"/>
  <c r="H72" i="2" s="1"/>
  <c r="J15" i="2"/>
  <c r="I53" i="1"/>
  <c r="J16" i="1"/>
  <c r="H8" i="1"/>
  <c r="I7" i="2" s="1"/>
  <c r="L21" i="2"/>
  <c r="F21" i="2"/>
  <c r="S21" i="2"/>
  <c r="J17" i="1"/>
  <c r="F48" i="1"/>
  <c r="L48" i="1" s="1"/>
  <c r="D58" i="1"/>
  <c r="I66" i="2"/>
  <c r="I25" i="2"/>
  <c r="N22" i="2"/>
  <c r="R41" i="2"/>
  <c r="F7" i="2"/>
  <c r="D8" i="2"/>
  <c r="E25" i="2"/>
  <c r="E66" i="2"/>
  <c r="T35" i="2"/>
  <c r="M35" i="2"/>
  <c r="F17" i="1"/>
  <c r="L17" i="1" s="1"/>
  <c r="I21" i="1"/>
  <c r="L21" i="1" s="1"/>
  <c r="D26" i="1"/>
  <c r="J26" i="1" s="1"/>
  <c r="E35" i="1"/>
  <c r="K35" i="1" s="1"/>
  <c r="F44" i="1"/>
  <c r="L44" i="1" s="1"/>
  <c r="F58" i="1"/>
  <c r="P65" i="2"/>
  <c r="P24" i="2"/>
  <c r="F15" i="2"/>
  <c r="Q17" i="2"/>
  <c r="T17" i="2" s="1"/>
  <c r="T16" i="2"/>
  <c r="R47" i="2"/>
  <c r="F16" i="1"/>
  <c r="L16" i="1" s="1"/>
  <c r="E26" i="1"/>
  <c r="I26" i="1"/>
  <c r="F35" i="1"/>
  <c r="L35" i="1" s="1"/>
  <c r="G58" i="1"/>
  <c r="I58" i="1" s="1"/>
  <c r="I69" i="1" s="1"/>
  <c r="Q65" i="2"/>
  <c r="Q71" i="2" s="1"/>
  <c r="M15" i="2"/>
  <c r="T15" i="2"/>
  <c r="R17" i="2"/>
  <c r="R24" i="2" s="1"/>
  <c r="J69" i="2"/>
  <c r="P61" i="2"/>
  <c r="R54" i="2"/>
  <c r="R61" i="2" s="1"/>
  <c r="U55" i="2"/>
  <c r="R28" i="2"/>
  <c r="R34" i="2" s="1"/>
  <c r="N45" i="2"/>
  <c r="T53" i="2"/>
  <c r="J59" i="2"/>
  <c r="N59" i="2" s="1"/>
  <c r="E62" i="2"/>
  <c r="E69" i="2"/>
  <c r="F35" i="2"/>
  <c r="L35" i="2"/>
  <c r="T40" i="2"/>
  <c r="J42" i="2"/>
  <c r="N42" i="2" s="1"/>
  <c r="F48" i="2"/>
  <c r="N52" i="2"/>
  <c r="N55" i="2"/>
  <c r="S55" i="2"/>
  <c r="J32" i="2"/>
  <c r="N32" i="2" s="1"/>
  <c r="L42" i="2"/>
  <c r="H48" i="2"/>
  <c r="J48" i="2" s="1"/>
  <c r="M48" i="2"/>
  <c r="R53" i="2"/>
  <c r="U53" i="2" s="1"/>
  <c r="I48" i="2"/>
  <c r="S53" i="2"/>
  <c r="D62" i="2"/>
  <c r="L48" i="2" l="1"/>
  <c r="J68" i="2"/>
  <c r="L68" i="2"/>
  <c r="L34" i="1"/>
  <c r="I52" i="1"/>
  <c r="K26" i="1"/>
  <c r="F26" i="1"/>
  <c r="L26" i="1" s="1"/>
  <c r="S62" i="2"/>
  <c r="L62" i="2"/>
  <c r="F62" i="2"/>
  <c r="U48" i="2"/>
  <c r="N48" i="2"/>
  <c r="M69" i="2"/>
  <c r="F69" i="2"/>
  <c r="N69" i="2" s="1"/>
  <c r="U15" i="2"/>
  <c r="N15" i="2"/>
  <c r="T62" i="2"/>
  <c r="M62" i="2"/>
  <c r="Q24" i="2"/>
  <c r="E53" i="1"/>
  <c r="U21" i="2"/>
  <c r="N21" i="2"/>
  <c r="J25" i="2"/>
  <c r="N54" i="2"/>
  <c r="U54" i="2"/>
  <c r="N31" i="2"/>
  <c r="U31" i="2"/>
  <c r="M34" i="2"/>
  <c r="T34" i="2"/>
  <c r="U38" i="2"/>
  <c r="N38" i="2"/>
  <c r="L34" i="2"/>
  <c r="F34" i="2"/>
  <c r="S34" i="2"/>
  <c r="J24" i="2"/>
  <c r="Y24" i="2" s="1"/>
  <c r="J34" i="2"/>
  <c r="L24" i="1"/>
  <c r="H56" i="1"/>
  <c r="I51" i="1"/>
  <c r="I37" i="1"/>
  <c r="J52" i="1"/>
  <c r="I28" i="1"/>
  <c r="G56" i="1"/>
  <c r="N17" i="2"/>
  <c r="U17" i="2"/>
  <c r="M68" i="2"/>
  <c r="F68" i="2"/>
  <c r="N68" i="2" s="1"/>
  <c r="H71" i="2"/>
  <c r="L14" i="1"/>
  <c r="F19" i="1"/>
  <c r="L19" i="1" s="1"/>
  <c r="D53" i="1"/>
  <c r="J53" i="1" s="1"/>
  <c r="M61" i="2"/>
  <c r="T61" i="2"/>
  <c r="N41" i="2"/>
  <c r="U41" i="2"/>
  <c r="E28" i="1"/>
  <c r="K28" i="1" s="1"/>
  <c r="L65" i="2"/>
  <c r="D71" i="2"/>
  <c r="S65" i="2"/>
  <c r="K51" i="1"/>
  <c r="F51" i="1"/>
  <c r="E56" i="1"/>
  <c r="K56" i="1" s="1"/>
  <c r="R65" i="2"/>
  <c r="R71" i="2" s="1"/>
  <c r="P71" i="2"/>
  <c r="M66" i="2"/>
  <c r="E72" i="2"/>
  <c r="T66" i="2"/>
  <c r="L58" i="1"/>
  <c r="T25" i="2"/>
  <c r="M25" i="2"/>
  <c r="D66" i="2"/>
  <c r="F66" i="2" s="1"/>
  <c r="D25" i="2"/>
  <c r="F25" i="2" s="1"/>
  <c r="S15" i="2"/>
  <c r="L15" i="2"/>
  <c r="U28" i="2"/>
  <c r="N28" i="2"/>
  <c r="N58" i="2"/>
  <c r="U51" i="2"/>
  <c r="N51" i="2"/>
  <c r="L61" i="2"/>
  <c r="F61" i="2"/>
  <c r="S61" i="2"/>
  <c r="L47" i="2"/>
  <c r="F47" i="2"/>
  <c r="S47" i="2"/>
  <c r="F52" i="1"/>
  <c r="K52" i="1"/>
  <c r="J19" i="1"/>
  <c r="U14" i="2"/>
  <c r="N14" i="2"/>
  <c r="L43" i="1"/>
  <c r="F37" i="1"/>
  <c r="L33" i="1"/>
  <c r="F46" i="1"/>
  <c r="L42" i="1"/>
  <c r="M24" i="2"/>
  <c r="T24" i="2"/>
  <c r="J65" i="2"/>
  <c r="I71" i="2"/>
  <c r="I46" i="1"/>
  <c r="L15" i="1"/>
  <c r="I72" i="2"/>
  <c r="J72" i="2" s="1"/>
  <c r="J66" i="2"/>
  <c r="U35" i="2"/>
  <c r="N35" i="2"/>
  <c r="J58" i="1"/>
  <c r="L24" i="2"/>
  <c r="F24" i="2"/>
  <c r="S24" i="2"/>
  <c r="M47" i="2"/>
  <c r="T47" i="2"/>
  <c r="J51" i="1"/>
  <c r="M65" i="2"/>
  <c r="F65" i="2"/>
  <c r="E71" i="2"/>
  <c r="T65" i="2"/>
  <c r="E37" i="1"/>
  <c r="K37" i="1" s="1"/>
  <c r="D28" i="1"/>
  <c r="J28" i="1" s="1"/>
  <c r="K46" i="1"/>
  <c r="J46" i="1"/>
  <c r="K19" i="1"/>
  <c r="L37" i="1" l="1"/>
  <c r="L52" i="1"/>
  <c r="I56" i="1"/>
  <c r="D56" i="1"/>
  <c r="J56" i="1" s="1"/>
  <c r="U25" i="2"/>
  <c r="N25" i="2"/>
  <c r="M71" i="2"/>
  <c r="T71" i="2"/>
  <c r="L46" i="1"/>
  <c r="J71" i="2"/>
  <c r="U34" i="2"/>
  <c r="N34" i="2"/>
  <c r="U61" i="2"/>
  <c r="N61" i="2"/>
  <c r="T72" i="2"/>
  <c r="M72" i="2"/>
  <c r="K53" i="1"/>
  <c r="F53" i="1"/>
  <c r="L53" i="1" s="1"/>
  <c r="U24" i="2"/>
  <c r="N24" i="2"/>
  <c r="S25" i="2"/>
  <c r="L25" i="2"/>
  <c r="N66" i="2"/>
  <c r="U66" i="2"/>
  <c r="L71" i="2"/>
  <c r="F71" i="2"/>
  <c r="S71" i="2"/>
  <c r="U65" i="2"/>
  <c r="N65" i="2"/>
  <c r="U47" i="2"/>
  <c r="N47" i="2"/>
  <c r="D72" i="2"/>
  <c r="S66" i="2"/>
  <c r="L66" i="2"/>
  <c r="L51" i="1"/>
  <c r="F28" i="1"/>
  <c r="L28" i="1" s="1"/>
  <c r="U62" i="2"/>
  <c r="N62" i="2"/>
  <c r="F56" i="1" l="1"/>
  <c r="L56" i="1" s="1"/>
  <c r="S72" i="2"/>
  <c r="L72" i="2"/>
  <c r="F72" i="2"/>
  <c r="U71" i="2"/>
  <c r="N71" i="2"/>
  <c r="U72" i="2" l="1"/>
  <c r="N72" i="2"/>
</calcChain>
</file>

<file path=xl/sharedStrings.xml><?xml version="1.0" encoding="utf-8"?>
<sst xmlns="http://schemas.openxmlformats.org/spreadsheetml/2006/main" count="123" uniqueCount="49">
  <si>
    <t>LOS RIOS COMMUNITY COLLEGE DISTRICT</t>
  </si>
  <si>
    <t>DAILY ENROLLMENT REPORT</t>
  </si>
  <si>
    <t>Fall 2017</t>
  </si>
  <si>
    <t>-1 Week Prior</t>
  </si>
  <si>
    <t>Fall 2016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</si>
  <si>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</si>
  <si>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</si>
  <si>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</si>
  <si>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</si>
  <si>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</si>
  <si>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</si>
  <si>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</si>
  <si>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</si>
  <si>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</si>
  <si>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</si>
  <si>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</si>
  <si>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</si>
  <si>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</si>
  <si>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</si>
  <si>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</si>
  <si>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</si>
  <si>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</si>
  <si>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2016 SRPSTC headcount of </t>
    </r>
  </si>
  <si>
    <t xml:space="preserve">     2,195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</si>
  <si>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2016 Apprenticeship</t>
    </r>
  </si>
  <si>
    <t xml:space="preserve">     headcount of 4,922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</si>
  <si>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2016 UCD headcount of 1,496</t>
    </r>
  </si>
  <si>
    <t xml:space="preserve">     for Day and 208 for Evening.</t>
  </si>
  <si>
    <t>Fall 2016 Positive WSCH data as of 320 Annual report.</t>
  </si>
  <si>
    <t>prior year</t>
  </si>
  <si>
    <t xml:space="preserve">     LOS RIOS COMMUNITY COLLEGE DISTRICT</t>
  </si>
  <si>
    <t>ENROLLMENT REPORT - Main Campus and Centers</t>
  </si>
  <si>
    <t>Spring 2006</t>
  </si>
  <si>
    <t>End of Session as of 1st Census as of October 24, 2006</t>
  </si>
  <si>
    <t/>
  </si>
  <si>
    <t>Spring 2006 EOS @ 1st Census</t>
  </si>
  <si>
    <t>Main Campus</t>
  </si>
  <si>
    <t>Natomas</t>
  </si>
  <si>
    <t>SRPSTC</t>
  </si>
  <si>
    <t>Total Unduplicated Students</t>
  </si>
  <si>
    <t xml:space="preserve">Elk Grove </t>
  </si>
  <si>
    <t>El Dorado Center</t>
  </si>
  <si>
    <t>Rancho Cordova</t>
  </si>
  <si>
    <t>Davis</t>
  </si>
  <si>
    <t>West Sacramento</t>
  </si>
  <si>
    <t>Main Colleges</t>
  </si>
  <si>
    <t>Outreach Centers</t>
  </si>
  <si>
    <t xml:space="preserve">Notes:  </t>
  </si>
  <si>
    <t>Rancho Cordova has Priority Headcount effective Summer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</si>
</sst>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  <numFmt numFmtId="168" formatCode="#,##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24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2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2" borderId="0"/>
    <xf numFmtId="3" fontId="2" fillId="2" borderId="0"/>
    <xf numFmtId="5" fontId="2" fillId="2" borderId="0"/>
    <xf numFmtId="5" fontId="2" fillId="2" borderId="0"/>
    <xf numFmtId="0" fontId="2" fillId="2" borderId="0"/>
    <xf numFmtId="0" fontId="2" fillId="2" borderId="0"/>
    <xf numFmtId="2" fontId="2" fillId="2" borderId="0"/>
    <xf numFmtId="2" fontId="2" fillId="2" borderId="0"/>
    <xf numFmtId="0" fontId="15" fillId="2" borderId="0"/>
    <xf numFmtId="0" fontId="5" fillId="2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3" fillId="0" borderId="0"/>
    <xf numFmtId="0" fontId="12" fillId="0" borderId="0">
      <alignment vertical="top"/>
    </xf>
    <xf numFmtId="0" fontId="13" fillId="0" borderId="0"/>
    <xf numFmtId="0" fontId="12" fillId="0" borderId="0">
      <alignment vertical="top"/>
    </xf>
    <xf numFmtId="0" fontId="12" fillId="0" borderId="0">
      <alignment vertical="top"/>
    </xf>
    <xf numFmtId="0" fontId="13" fillId="0" borderId="0"/>
    <xf numFmtId="0" fontId="14" fillId="0" borderId="0"/>
    <xf numFmtId="0" fontId="13" fillId="0" borderId="0"/>
    <xf numFmtId="0" fontId="2" fillId="0" borderId="0"/>
    <xf numFmtId="0" fontId="12" fillId="0" borderId="0">
      <alignment vertical="top"/>
    </xf>
    <xf numFmtId="0" fontId="13" fillId="0" borderId="0"/>
    <xf numFmtId="0" fontId="13" fillId="0" borderId="0"/>
    <xf numFmtId="0" fontId="2" fillId="0" borderId="0"/>
    <xf numFmtId="0" fontId="2" fillId="0" borderId="0"/>
    <xf numFmtId="0" fontId="12" fillId="0" borderId="0">
      <alignment vertical="top"/>
    </xf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7" fillId="0" borderId="3">
      <alignment horizontal="center"/>
    </xf>
    <xf numFmtId="3" fontId="16" fillId="0" borderId="0" applyFont="0" applyFill="0" applyBorder="0" applyAlignment="0" applyProtection="0"/>
    <xf numFmtId="0" fontId="16" fillId="8" borderId="0" applyNumberFormat="0" applyFont="0" applyBorder="0" applyAlignment="0" applyProtection="0"/>
    <xf numFmtId="0" fontId="2" fillId="2" borderId="25"/>
    <xf numFmtId="0" fontId="2" fillId="2" borderId="25"/>
  </cellStyleXfs>
  <cellXfs count="255">
    <xf numFmtId="0" fontId="0" fillId="0" borderId="0" xfId="0"/>
    <xf numFmtId="15" fontId="3" fillId="2" borderId="0" xfId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3" fillId="2" borderId="0" xfId="1" applyFont="1" applyFill="1"/>
    <xf numFmtId="15" fontId="3" fillId="2" borderId="0" xfId="1" quotePrefix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0" fontId="2" fillId="2" borderId="0" xfId="1" applyFill="1"/>
    <xf numFmtId="15" fontId="5" fillId="2" borderId="0" xfId="1" applyNumberFormat="1" applyFont="1" applyFill="1" applyBorder="1" applyAlignment="1">
      <alignment horizontal="center"/>
    </xf>
    <xf numFmtId="15" fontId="5" fillId="2" borderId="0" xfId="1" quotePrefix="1" applyNumberFormat="1" applyFont="1" applyFill="1" applyBorder="1" applyAlignment="1">
      <alignment horizontal="center"/>
    </xf>
    <xf numFmtId="15" fontId="4" fillId="2" borderId="0" xfId="1" applyNumberFormat="1" applyFont="1" applyFill="1" applyBorder="1" applyAlignment="1"/>
    <xf numFmtId="15" fontId="4" fillId="2" borderId="0" xfId="1" quotePrefix="1" applyNumberFormat="1" applyFont="1" applyFill="1" applyBorder="1" applyAlignment="1"/>
    <xf numFmtId="164" fontId="4" fillId="2" borderId="0" xfId="1" quotePrefix="1" applyNumberFormat="1" applyFont="1" applyFill="1" applyBorder="1" applyAlignment="1"/>
    <xf numFmtId="15" fontId="4" fillId="2" borderId="0" xfId="1" quotePrefix="1" applyNumberFormat="1" applyFont="1" applyFill="1" applyBorder="1" applyAlignment="1">
      <alignment horizontal="right"/>
    </xf>
    <xf numFmtId="15" fontId="4" fillId="2" borderId="0" xfId="1" quotePrefix="1" applyNumberFormat="1" applyFont="1" applyFill="1" applyBorder="1" applyAlignment="1">
      <alignment horizontal="left"/>
    </xf>
    <xf numFmtId="165" fontId="4" fillId="2" borderId="0" xfId="1" applyNumberFormat="1" applyFont="1" applyFill="1" applyBorder="1" applyAlignment="1"/>
    <xf numFmtId="165" fontId="4" fillId="2" borderId="0" xfId="1" quotePrefix="1" applyNumberFormat="1" applyFont="1" applyFill="1" applyBorder="1" applyAlignment="1"/>
    <xf numFmtId="164" fontId="4" fillId="2" borderId="0" xfId="1" quotePrefix="1" applyNumberFormat="1" applyFont="1" applyFill="1" applyBorder="1" applyAlignment="1">
      <alignment horizontal="right"/>
    </xf>
    <xf numFmtId="166" fontId="4" fillId="2" borderId="0" xfId="1" quotePrefix="1" applyNumberFormat="1" applyFont="1" applyFill="1" applyBorder="1" applyAlignment="1">
      <alignment horizontal="left"/>
    </xf>
    <xf numFmtId="15" fontId="6" fillId="2" borderId="1" xfId="1" applyNumberFormat="1" applyFont="1" applyFill="1" applyBorder="1" applyAlignment="1"/>
    <xf numFmtId="15" fontId="4" fillId="2" borderId="1" xfId="1" quotePrefix="1" applyNumberFormat="1" applyFont="1" applyFill="1" applyBorder="1" applyAlignment="1">
      <alignment horizontal="center"/>
    </xf>
    <xf numFmtId="15" fontId="7" fillId="0" borderId="0" xfId="1" quotePrefix="1" applyNumberFormat="1" applyFont="1" applyFill="1" applyBorder="1" applyAlignment="1"/>
    <xf numFmtId="164" fontId="7" fillId="0" borderId="2" xfId="1" quotePrefix="1" applyNumberFormat="1" applyFont="1" applyFill="1" applyBorder="1" applyAlignment="1">
      <alignment horizontal="left"/>
    </xf>
    <xf numFmtId="14" fontId="2" fillId="0" borderId="3" xfId="2" applyNumberFormat="1" applyFont="1" applyFill="1" applyBorder="1" applyAlignment="1">
      <alignment horizontal="left"/>
    </xf>
    <xf numFmtId="0" fontId="2" fillId="0" borderId="0" xfId="1" applyFill="1"/>
    <xf numFmtId="14" fontId="2" fillId="0" borderId="3" xfId="1" applyNumberFormat="1" applyFill="1" applyBorder="1" applyAlignment="1">
      <alignment horizontal="left"/>
    </xf>
    <xf numFmtId="15" fontId="8" fillId="3" borderId="4" xfId="1" applyNumberFormat="1" applyFont="1" applyFill="1" applyBorder="1" applyAlignment="1">
      <alignment horizontal="center"/>
    </xf>
    <xf numFmtId="15" fontId="8" fillId="3" borderId="5" xfId="1" applyNumberFormat="1" applyFont="1" applyFill="1" applyBorder="1" applyAlignment="1">
      <alignment horizontal="left"/>
    </xf>
    <xf numFmtId="0" fontId="8" fillId="3" borderId="6" xfId="1" applyFont="1" applyFill="1" applyBorder="1" applyAlignment="1">
      <alignment horizontal="left"/>
    </xf>
    <xf numFmtId="15" fontId="8" fillId="4" borderId="4" xfId="1" applyNumberFormat="1" applyFont="1" applyFill="1" applyBorder="1" applyAlignment="1">
      <alignment horizontal="center"/>
    </xf>
    <xf numFmtId="15" fontId="8" fillId="4" borderId="5" xfId="1" quotePrefix="1" applyNumberFormat="1" applyFont="1" applyFill="1" applyBorder="1" applyAlignment="1">
      <alignment horizontal="left"/>
    </xf>
    <xf numFmtId="0" fontId="8" fillId="4" borderId="6" xfId="1" applyFont="1" applyFill="1" applyBorder="1" applyAlignment="1">
      <alignment horizontal="left"/>
    </xf>
    <xf numFmtId="0" fontId="8" fillId="4" borderId="4" xfId="1" applyFont="1" applyFill="1" applyBorder="1"/>
    <xf numFmtId="0" fontId="8" fillId="4" borderId="5" xfId="1" applyFont="1" applyFill="1" applyBorder="1"/>
    <xf numFmtId="0" fontId="8" fillId="4" borderId="6" xfId="1" applyFont="1" applyFill="1" applyBorder="1"/>
    <xf numFmtId="0" fontId="8" fillId="3" borderId="7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8" fillId="4" borderId="0" xfId="1" applyFont="1" applyFill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8" fillId="3" borderId="9" xfId="1" applyFont="1" applyFill="1" applyBorder="1"/>
    <xf numFmtId="0" fontId="8" fillId="3" borderId="10" xfId="1" applyFont="1" applyFill="1" applyBorder="1"/>
    <xf numFmtId="0" fontId="2" fillId="2" borderId="9" xfId="1" applyFill="1" applyBorder="1"/>
    <xf numFmtId="0" fontId="2" fillId="2" borderId="10" xfId="1" applyFill="1" applyBorder="1"/>
    <xf numFmtId="0" fontId="2" fillId="2" borderId="11" xfId="1" applyFill="1" applyBorder="1"/>
    <xf numFmtId="10" fontId="2" fillId="2" borderId="9" xfId="1" applyNumberFormat="1" applyFill="1" applyBorder="1"/>
    <xf numFmtId="10" fontId="2" fillId="2" borderId="10" xfId="1" applyNumberFormat="1" applyFill="1" applyBorder="1"/>
    <xf numFmtId="10" fontId="2" fillId="2" borderId="11" xfId="1" applyNumberFormat="1" applyFill="1" applyBorder="1"/>
    <xf numFmtId="0" fontId="8" fillId="2" borderId="7" xfId="1" applyFont="1" applyFill="1" applyBorder="1"/>
    <xf numFmtId="0" fontId="8" fillId="2" borderId="0" xfId="1" applyFont="1" applyFill="1"/>
    <xf numFmtId="3" fontId="8" fillId="2" borderId="7" xfId="1" applyNumberFormat="1" applyFont="1" applyFill="1" applyBorder="1"/>
    <xf numFmtId="3" fontId="8" fillId="2" borderId="0" xfId="1" applyNumberFormat="1" applyFont="1" applyFill="1" applyBorder="1"/>
    <xf numFmtId="3" fontId="8" fillId="2" borderId="8" xfId="1" applyNumberFormat="1" applyFont="1" applyFill="1" applyBorder="1"/>
    <xf numFmtId="3" fontId="8" fillId="2" borderId="0" xfId="1" applyNumberFormat="1" applyFont="1" applyFill="1"/>
    <xf numFmtId="10" fontId="8" fillId="2" borderId="7" xfId="1" applyNumberFormat="1" applyFont="1" applyFill="1" applyBorder="1"/>
    <xf numFmtId="10" fontId="8" fillId="2" borderId="0" xfId="1" applyNumberFormat="1" applyFont="1" applyFill="1"/>
    <xf numFmtId="10" fontId="8" fillId="2" borderId="8" xfId="1" applyNumberFormat="1" applyFont="1" applyFill="1" applyBorder="1"/>
    <xf numFmtId="0" fontId="2" fillId="2" borderId="7" xfId="1" applyFont="1" applyFill="1" applyBorder="1"/>
    <xf numFmtId="0" fontId="2" fillId="2" borderId="0" xfId="1" applyFont="1" applyFill="1"/>
    <xf numFmtId="3" fontId="2" fillId="2" borderId="7" xfId="1" applyNumberFormat="1" applyFont="1" applyFill="1" applyBorder="1"/>
    <xf numFmtId="3" fontId="2" fillId="2" borderId="0" xfId="1" applyNumberFormat="1" applyFont="1" applyFill="1" applyBorder="1"/>
    <xf numFmtId="3" fontId="2" fillId="2" borderId="8" xfId="1" applyNumberFormat="1" applyFont="1" applyFill="1" applyBorder="1"/>
    <xf numFmtId="3" fontId="2" fillId="2" borderId="0" xfId="1" applyNumberFormat="1" applyFont="1" applyFill="1"/>
    <xf numFmtId="10" fontId="2" fillId="2" borderId="7" xfId="1" applyNumberFormat="1" applyFill="1" applyBorder="1"/>
    <xf numFmtId="10" fontId="2" fillId="2" borderId="0" xfId="1" applyNumberFormat="1" applyFill="1" applyBorder="1"/>
    <xf numFmtId="10" fontId="2" fillId="2" borderId="8" xfId="1" applyNumberFormat="1" applyFill="1" applyBorder="1"/>
    <xf numFmtId="3" fontId="2" fillId="0" borderId="7" xfId="1" applyNumberFormat="1" applyFont="1" applyFill="1" applyBorder="1"/>
    <xf numFmtId="3" fontId="2" fillId="0" borderId="0" xfId="1" applyNumberFormat="1" applyFont="1" applyFill="1" applyBorder="1"/>
    <xf numFmtId="3" fontId="2" fillId="0" borderId="8" xfId="1" applyNumberFormat="1" applyFont="1" applyFill="1" applyBorder="1"/>
    <xf numFmtId="0" fontId="2" fillId="2" borderId="7" xfId="1" applyFill="1" applyBorder="1"/>
    <xf numFmtId="0" fontId="2" fillId="0" borderId="0" xfId="1" applyBorder="1"/>
    <xf numFmtId="3" fontId="2" fillId="2" borderId="7" xfId="1" applyNumberFormat="1" applyFill="1" applyBorder="1"/>
    <xf numFmtId="0" fontId="2" fillId="2" borderId="0" xfId="1" applyFill="1" applyBorder="1"/>
    <xf numFmtId="3" fontId="2" fillId="2" borderId="8" xfId="1" applyNumberFormat="1" applyFill="1" applyBorder="1"/>
    <xf numFmtId="3" fontId="2" fillId="2" borderId="0" xfId="1" applyNumberFormat="1" applyFill="1" applyBorder="1"/>
    <xf numFmtId="3" fontId="2" fillId="2" borderId="12" xfId="1" applyNumberFormat="1" applyFill="1" applyBorder="1"/>
    <xf numFmtId="3" fontId="2" fillId="2" borderId="13" xfId="1" applyNumberFormat="1" applyFill="1" applyBorder="1"/>
    <xf numFmtId="3" fontId="2" fillId="2" borderId="14" xfId="1" applyNumberFormat="1" applyFill="1" applyBorder="1"/>
    <xf numFmtId="10" fontId="2" fillId="2" borderId="12" xfId="1" applyNumberFormat="1" applyFill="1" applyBorder="1"/>
    <xf numFmtId="10" fontId="2" fillId="2" borderId="13" xfId="1" applyNumberFormat="1" applyFill="1" applyBorder="1"/>
    <xf numFmtId="10" fontId="2" fillId="2" borderId="14" xfId="1" applyNumberFormat="1" applyFill="1" applyBorder="1"/>
    <xf numFmtId="3" fontId="2" fillId="2" borderId="0" xfId="1" applyNumberFormat="1" applyFill="1"/>
    <xf numFmtId="0" fontId="2" fillId="2" borderId="15" xfId="1" applyFill="1" applyBorder="1"/>
    <xf numFmtId="0" fontId="2" fillId="2" borderId="3" xfId="1" applyFill="1" applyBorder="1"/>
    <xf numFmtId="3" fontId="2" fillId="2" borderId="15" xfId="1" applyNumberFormat="1" applyFill="1" applyBorder="1"/>
    <xf numFmtId="3" fontId="2" fillId="2" borderId="3" xfId="1" applyNumberFormat="1" applyFill="1" applyBorder="1"/>
    <xf numFmtId="3" fontId="2" fillId="2" borderId="16" xfId="1" applyNumberFormat="1" applyFill="1" applyBorder="1"/>
    <xf numFmtId="10" fontId="2" fillId="2" borderId="15" xfId="1" applyNumberFormat="1" applyFill="1" applyBorder="1"/>
    <xf numFmtId="10" fontId="2" fillId="2" borderId="3" xfId="1" applyNumberFormat="1" applyFill="1" applyBorder="1"/>
    <xf numFmtId="10" fontId="2" fillId="2" borderId="16" xfId="1" applyNumberFormat="1" applyFill="1" applyBorder="1"/>
    <xf numFmtId="3" fontId="2" fillId="0" borderId="3" xfId="1" applyNumberFormat="1" applyFill="1" applyBorder="1"/>
    <xf numFmtId="3" fontId="8" fillId="0" borderId="8" xfId="1" applyNumberFormat="1" applyFont="1" applyFill="1" applyBorder="1"/>
    <xf numFmtId="10" fontId="2" fillId="2" borderId="7" xfId="1" applyNumberFormat="1" applyFont="1" applyFill="1" applyBorder="1"/>
    <xf numFmtId="10" fontId="2" fillId="2" borderId="0" xfId="1" applyNumberFormat="1" applyFont="1" applyFill="1"/>
    <xf numFmtId="10" fontId="2" fillId="2" borderId="8" xfId="1" applyNumberFormat="1" applyFont="1" applyFill="1" applyBorder="1"/>
    <xf numFmtId="0" fontId="9" fillId="2" borderId="0" xfId="1" applyFont="1" applyFill="1" applyBorder="1"/>
    <xf numFmtId="0" fontId="8" fillId="2" borderId="0" xfId="1" applyFont="1" applyFill="1" applyBorder="1"/>
    <xf numFmtId="10" fontId="8" fillId="2" borderId="0" xfId="1" applyNumberFormat="1" applyFont="1" applyFill="1" applyBorder="1"/>
    <xf numFmtId="0" fontId="7" fillId="5" borderId="0" xfId="1" applyFont="1" applyFill="1"/>
    <xf numFmtId="0" fontId="2" fillId="5" borderId="0" xfId="1" applyFill="1"/>
    <xf numFmtId="0" fontId="10" fillId="5" borderId="0" xfId="1" applyFont="1" applyFill="1"/>
    <xf numFmtId="0" fontId="2" fillId="0" borderId="0" xfId="1"/>
    <xf numFmtId="38" fontId="2" fillId="5" borderId="0" xfId="1" applyNumberFormat="1" applyFont="1" applyFill="1"/>
    <xf numFmtId="10" fontId="2" fillId="5" borderId="0" xfId="1" applyNumberFormat="1" applyFont="1" applyFill="1"/>
    <xf numFmtId="0" fontId="2" fillId="5" borderId="0" xfId="1" applyFont="1" applyFill="1"/>
    <xf numFmtId="0" fontId="2" fillId="0" borderId="0" xfId="1" applyFont="1" applyFill="1"/>
    <xf numFmtId="0" fontId="2" fillId="0" borderId="0" xfId="1" applyFont="1"/>
    <xf numFmtId="0" fontId="7" fillId="5" borderId="0" xfId="1" applyFont="1" applyFill="1" applyBorder="1"/>
    <xf numFmtId="10" fontId="2" fillId="2" borderId="0" xfId="1" applyNumberFormat="1" applyFill="1"/>
    <xf numFmtId="0" fontId="7" fillId="0" borderId="0" xfId="1" applyFont="1" applyFill="1"/>
    <xf numFmtId="167" fontId="2" fillId="0" borderId="0" xfId="3" applyNumberFormat="1" applyFont="1" applyFill="1"/>
    <xf numFmtId="3" fontId="2" fillId="0" borderId="0" xfId="1" applyNumberFormat="1" applyFont="1" applyFill="1" applyAlignment="1">
      <alignment horizontal="right"/>
    </xf>
    <xf numFmtId="15" fontId="8" fillId="2" borderId="0" xfId="1" quotePrefix="1" applyNumberFormat="1" applyFont="1" applyFill="1" applyBorder="1" applyAlignment="1">
      <alignment horizontal="center"/>
    </xf>
    <xf numFmtId="0" fontId="8" fillId="0" borderId="0" xfId="1" applyFont="1" applyFill="1"/>
    <xf numFmtId="15" fontId="8" fillId="2" borderId="0" xfId="1" quotePrefix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10" fontId="2" fillId="2" borderId="0" xfId="1" quotePrefix="1" applyNumberFormat="1" applyFont="1" applyFill="1" applyBorder="1" applyAlignment="1">
      <alignment horizontal="center"/>
    </xf>
    <xf numFmtId="15" fontId="2" fillId="0" borderId="0" xfId="1" quotePrefix="1" applyNumberFormat="1" applyFont="1" applyFill="1" applyBorder="1" applyAlignment="1">
      <alignment horizontal="center"/>
    </xf>
    <xf numFmtId="15" fontId="8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166" fontId="2" fillId="2" borderId="0" xfId="1" quotePrefix="1" applyNumberFormat="1" applyFont="1" applyFill="1" applyBorder="1" applyAlignment="1">
      <alignment horizontal="center"/>
    </xf>
    <xf numFmtId="15" fontId="9" fillId="2" borderId="1" xfId="1" applyNumberFormat="1" applyFont="1" applyFill="1" applyBorder="1" applyAlignment="1"/>
    <xf numFmtId="164" fontId="2" fillId="2" borderId="1" xfId="1" quotePrefix="1" applyNumberFormat="1" applyFont="1" applyFill="1" applyBorder="1" applyAlignment="1">
      <alignment horizontal="center"/>
    </xf>
    <xf numFmtId="14" fontId="2" fillId="2" borderId="1" xfId="1" quotePrefix="1" applyNumberFormat="1" applyFont="1" applyFill="1" applyBorder="1" applyAlignment="1">
      <alignment horizontal="center"/>
    </xf>
    <xf numFmtId="10" fontId="2" fillId="2" borderId="1" xfId="1" quotePrefix="1" applyNumberFormat="1" applyFont="1" applyFill="1" applyBorder="1" applyAlignment="1">
      <alignment horizontal="center"/>
    </xf>
    <xf numFmtId="15" fontId="9" fillId="0" borderId="1" xfId="1" applyNumberFormat="1" applyFont="1" applyFill="1" applyBorder="1" applyAlignment="1"/>
    <xf numFmtId="15" fontId="2" fillId="0" borderId="1" xfId="1" quotePrefix="1" applyNumberFormat="1" applyFont="1" applyFill="1" applyBorder="1" applyAlignment="1">
      <alignment horizontal="center"/>
    </xf>
    <xf numFmtId="0" fontId="2" fillId="0" borderId="1" xfId="1" applyFont="1" applyFill="1" applyBorder="1"/>
    <xf numFmtId="15" fontId="7" fillId="0" borderId="0" xfId="1" applyNumberFormat="1" applyFont="1" applyFill="1" applyBorder="1" applyAlignment="1"/>
    <xf numFmtId="0" fontId="2" fillId="0" borderId="0" xfId="1" applyFont="1" applyFill="1" applyBorder="1"/>
    <xf numFmtId="0" fontId="2" fillId="2" borderId="0" xfId="1" quotePrefix="1" applyFont="1" applyFill="1"/>
    <xf numFmtId="0" fontId="2" fillId="2" borderId="0" xfId="1" applyFont="1" applyFill="1" applyBorder="1"/>
    <xf numFmtId="15" fontId="8" fillId="3" borderId="4" xfId="1" applyNumberFormat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15" fontId="8" fillId="4" borderId="4" xfId="1" applyNumberFormat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/>
    </xf>
    <xf numFmtId="10" fontId="8" fillId="4" borderId="4" xfId="1" applyNumberFormat="1" applyFont="1" applyFill="1" applyBorder="1" applyAlignment="1">
      <alignment horizontal="center"/>
    </xf>
    <xf numFmtId="10" fontId="8" fillId="4" borderId="5" xfId="1" applyNumberFormat="1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5" xfId="1" applyFont="1" applyFill="1" applyBorder="1"/>
    <xf numFmtId="0" fontId="8" fillId="0" borderId="6" xfId="1" applyFont="1" applyFill="1" applyBorder="1"/>
    <xf numFmtId="0" fontId="8" fillId="4" borderId="0" xfId="1" applyFont="1" applyFill="1" applyBorder="1" applyAlignment="1">
      <alignment horizontal="center"/>
    </xf>
    <xf numFmtId="10" fontId="8" fillId="4" borderId="7" xfId="1" applyNumberFormat="1" applyFont="1" applyFill="1" applyBorder="1" applyAlignment="1">
      <alignment horizontal="center"/>
    </xf>
    <xf numFmtId="10" fontId="8" fillId="4" borderId="0" xfId="1" applyNumberFormat="1" applyFont="1" applyFill="1" applyAlignment="1">
      <alignment horizontal="center"/>
    </xf>
    <xf numFmtId="10" fontId="8" fillId="4" borderId="8" xfId="1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8" xfId="1" applyFont="1" applyFill="1" applyBorder="1" applyAlignment="1">
      <alignment horizontal="center"/>
    </xf>
    <xf numFmtId="0" fontId="2" fillId="2" borderId="9" xfId="1" applyFont="1" applyFill="1" applyBorder="1"/>
    <xf numFmtId="0" fontId="2" fillId="2" borderId="10" xfId="1" applyFont="1" applyFill="1" applyBorder="1"/>
    <xf numFmtId="0" fontId="2" fillId="2" borderId="11" xfId="1" applyFont="1" applyFill="1" applyBorder="1"/>
    <xf numFmtId="10" fontId="2" fillId="2" borderId="9" xfId="1" applyNumberFormat="1" applyFont="1" applyFill="1" applyBorder="1"/>
    <xf numFmtId="10" fontId="2" fillId="2" borderId="10" xfId="1" applyNumberFormat="1" applyFont="1" applyFill="1" applyBorder="1"/>
    <xf numFmtId="10" fontId="2" fillId="2" borderId="11" xfId="1" applyNumberFormat="1" applyFont="1" applyFill="1" applyBorder="1"/>
    <xf numFmtId="0" fontId="2" fillId="0" borderId="9" xfId="1" applyFont="1" applyFill="1" applyBorder="1"/>
    <xf numFmtId="0" fontId="2" fillId="0" borderId="10" xfId="1" applyFont="1" applyFill="1" applyBorder="1"/>
    <xf numFmtId="10" fontId="2" fillId="0" borderId="9" xfId="1" applyNumberFormat="1" applyFont="1" applyFill="1" applyBorder="1"/>
    <xf numFmtId="10" fontId="2" fillId="0" borderId="10" xfId="1" applyNumberFormat="1" applyFont="1" applyFill="1" applyBorder="1"/>
    <xf numFmtId="10" fontId="2" fillId="0" borderId="11" xfId="1" applyNumberFormat="1" applyFont="1" applyFill="1" applyBorder="1"/>
    <xf numFmtId="3" fontId="8" fillId="0" borderId="7" xfId="1" applyNumberFormat="1" applyFont="1" applyFill="1" applyBorder="1"/>
    <xf numFmtId="3" fontId="8" fillId="0" borderId="0" xfId="1" applyNumberFormat="1" applyFont="1" applyFill="1"/>
    <xf numFmtId="10" fontId="8" fillId="0" borderId="7" xfId="1" applyNumberFormat="1" applyFont="1" applyFill="1" applyBorder="1"/>
    <xf numFmtId="10" fontId="8" fillId="0" borderId="0" xfId="1" applyNumberFormat="1" applyFont="1" applyFill="1"/>
    <xf numFmtId="10" fontId="8" fillId="0" borderId="8" xfId="1" applyNumberFormat="1" applyFont="1" applyFill="1" applyBorder="1"/>
    <xf numFmtId="0" fontId="8" fillId="0" borderId="0" xfId="1" applyFont="1" applyFill="1" applyBorder="1"/>
    <xf numFmtId="3" fontId="7" fillId="2" borderId="0" xfId="1" applyNumberFormat="1" applyFont="1" applyFill="1" applyBorder="1"/>
    <xf numFmtId="3" fontId="8" fillId="0" borderId="0" xfId="1" applyNumberFormat="1" applyFont="1" applyFill="1" applyBorder="1"/>
    <xf numFmtId="10" fontId="2" fillId="0" borderId="7" xfId="1" applyNumberFormat="1" applyFont="1" applyFill="1" applyBorder="1"/>
    <xf numFmtId="10" fontId="2" fillId="0" borderId="0" xfId="1" applyNumberFormat="1" applyFont="1" applyFill="1"/>
    <xf numFmtId="0" fontId="7" fillId="2" borderId="7" xfId="1" applyFont="1" applyFill="1" applyBorder="1"/>
    <xf numFmtId="0" fontId="7" fillId="2" borderId="0" xfId="1" applyFont="1" applyFill="1" applyBorder="1"/>
    <xf numFmtId="3" fontId="7" fillId="2" borderId="7" xfId="1" applyNumberFormat="1" applyFont="1" applyFill="1" applyBorder="1"/>
    <xf numFmtId="3" fontId="7" fillId="2" borderId="8" xfId="1" applyNumberFormat="1" applyFont="1" applyFill="1" applyBorder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9" fillId="0" borderId="8" xfId="1" applyNumberFormat="1" applyFont="1" applyFill="1" applyBorder="1"/>
    <xf numFmtId="3" fontId="7" fillId="0" borderId="7" xfId="1" applyNumberFormat="1" applyFont="1" applyFill="1" applyBorder="1"/>
    <xf numFmtId="3" fontId="7" fillId="0" borderId="0" xfId="1" applyNumberFormat="1" applyFont="1" applyFill="1" applyBorder="1"/>
    <xf numFmtId="3" fontId="7" fillId="0" borderId="8" xfId="1" applyNumberFormat="1" applyFont="1" applyFill="1" applyBorder="1"/>
    <xf numFmtId="10" fontId="7" fillId="0" borderId="7" xfId="1" applyNumberFormat="1" applyFont="1" applyFill="1" applyBorder="1"/>
    <xf numFmtId="10" fontId="7" fillId="0" borderId="0" xfId="1" applyNumberFormat="1" applyFont="1" applyFill="1" applyBorder="1"/>
    <xf numFmtId="10" fontId="7" fillId="0" borderId="8" xfId="1" applyNumberFormat="1" applyFont="1" applyFill="1" applyBorder="1"/>
    <xf numFmtId="0" fontId="7" fillId="0" borderId="0" xfId="1" applyFont="1" applyFill="1" applyBorder="1"/>
    <xf numFmtId="0" fontId="7" fillId="2" borderId="0" xfId="1" applyFont="1" applyFill="1"/>
    <xf numFmtId="10" fontId="2" fillId="0" borderId="8" xfId="1" applyNumberFormat="1" applyFont="1" applyFill="1" applyBorder="1"/>
    <xf numFmtId="0" fontId="2" fillId="6" borderId="7" xfId="1" applyFont="1" applyFill="1" applyBorder="1"/>
    <xf numFmtId="0" fontId="8" fillId="6" borderId="0" xfId="1" applyFont="1" applyFill="1"/>
    <xf numFmtId="10" fontId="2" fillId="0" borderId="0" xfId="1" applyNumberFormat="1" applyFont="1" applyFill="1" applyBorder="1"/>
    <xf numFmtId="0" fontId="7" fillId="6" borderId="7" xfId="1" applyFont="1" applyFill="1" applyBorder="1"/>
    <xf numFmtId="0" fontId="7" fillId="6" borderId="0" xfId="1" applyFont="1" applyFill="1" applyBorder="1"/>
    <xf numFmtId="3" fontId="7" fillId="6" borderId="7" xfId="1" applyNumberFormat="1" applyFont="1" applyFill="1" applyBorder="1"/>
    <xf numFmtId="3" fontId="7" fillId="6" borderId="0" xfId="1" applyNumberFormat="1" applyFont="1" applyFill="1" applyBorder="1"/>
    <xf numFmtId="3" fontId="7" fillId="6" borderId="8" xfId="1" applyNumberFormat="1" applyFont="1" applyFill="1" applyBorder="1"/>
    <xf numFmtId="10" fontId="7" fillId="6" borderId="7" xfId="1" applyNumberFormat="1" applyFont="1" applyFill="1" applyBorder="1"/>
    <xf numFmtId="10" fontId="7" fillId="6" borderId="0" xfId="1" applyNumberFormat="1" applyFont="1" applyFill="1" applyBorder="1"/>
    <xf numFmtId="10" fontId="7" fillId="6" borderId="8" xfId="1" applyNumberFormat="1" applyFont="1" applyFill="1" applyBorder="1"/>
    <xf numFmtId="0" fontId="7" fillId="6" borderId="0" xfId="1" applyFont="1" applyFill="1"/>
    <xf numFmtId="3" fontId="2" fillId="2" borderId="17" xfId="1" applyNumberFormat="1" applyFont="1" applyFill="1" applyBorder="1"/>
    <xf numFmtId="3" fontId="2" fillId="2" borderId="18" xfId="1" applyNumberFormat="1" applyFont="1" applyFill="1" applyBorder="1"/>
    <xf numFmtId="3" fontId="2" fillId="2" borderId="19" xfId="1" applyNumberFormat="1" applyFont="1" applyFill="1" applyBorder="1"/>
    <xf numFmtId="10" fontId="2" fillId="2" borderId="17" xfId="1" applyNumberFormat="1" applyFont="1" applyFill="1" applyBorder="1"/>
    <xf numFmtId="10" fontId="2" fillId="2" borderId="18" xfId="1" applyNumberFormat="1" applyFont="1" applyFill="1" applyBorder="1"/>
    <xf numFmtId="10" fontId="8" fillId="2" borderId="19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10" fontId="2" fillId="0" borderId="12" xfId="1" applyNumberFormat="1" applyFont="1" applyFill="1" applyBorder="1"/>
    <xf numFmtId="10" fontId="2" fillId="0" borderId="13" xfId="1" applyNumberFormat="1" applyFont="1" applyFill="1" applyBorder="1"/>
    <xf numFmtId="10" fontId="2" fillId="0" borderId="14" xfId="1" applyNumberFormat="1" applyFont="1" applyFill="1" applyBorder="1"/>
    <xf numFmtId="168" fontId="2" fillId="0" borderId="0" xfId="1" applyNumberFormat="1" applyFont="1" applyFill="1"/>
    <xf numFmtId="3" fontId="2" fillId="0" borderId="0" xfId="1" applyNumberFormat="1" applyFont="1" applyFill="1"/>
    <xf numFmtId="0" fontId="7" fillId="2" borderId="15" xfId="1" applyFont="1" applyFill="1" applyBorder="1"/>
    <xf numFmtId="0" fontId="7" fillId="2" borderId="3" xfId="1" applyFont="1" applyFill="1" applyBorder="1"/>
    <xf numFmtId="3" fontId="7" fillId="2" borderId="15" xfId="1" applyNumberFormat="1" applyFont="1" applyFill="1" applyBorder="1"/>
    <xf numFmtId="3" fontId="7" fillId="2" borderId="3" xfId="1" applyNumberFormat="1" applyFont="1" applyFill="1" applyBorder="1"/>
    <xf numFmtId="3" fontId="7" fillId="2" borderId="16" xfId="1" applyNumberFormat="1" applyFont="1" applyFill="1" applyBorder="1"/>
    <xf numFmtId="10" fontId="7" fillId="2" borderId="0" xfId="1" applyNumberFormat="1" applyFont="1" applyFill="1" applyBorder="1"/>
    <xf numFmtId="10" fontId="9" fillId="2" borderId="8" xfId="1" applyNumberFormat="1" applyFont="1" applyFill="1" applyBorder="1"/>
    <xf numFmtId="3" fontId="7" fillId="0" borderId="15" xfId="1" applyNumberFormat="1" applyFont="1" applyFill="1" applyBorder="1"/>
    <xf numFmtId="3" fontId="7" fillId="0" borderId="3" xfId="1" applyNumberFormat="1" applyFont="1" applyFill="1" applyBorder="1"/>
    <xf numFmtId="3" fontId="7" fillId="0" borderId="16" xfId="1" applyNumberFormat="1" applyFont="1" applyFill="1" applyBorder="1"/>
    <xf numFmtId="10" fontId="7" fillId="0" borderId="15" xfId="1" applyNumberFormat="1" applyFont="1" applyFill="1" applyBorder="1"/>
    <xf numFmtId="10" fontId="7" fillId="0" borderId="3" xfId="1" applyNumberFormat="1" applyFont="1" applyFill="1" applyBorder="1"/>
    <xf numFmtId="10" fontId="7" fillId="0" borderId="16" xfId="1" applyNumberFormat="1" applyFont="1" applyFill="1" applyBorder="1"/>
    <xf numFmtId="0" fontId="2" fillId="0" borderId="0" xfId="1" applyFont="1" applyBorder="1"/>
    <xf numFmtId="10" fontId="2" fillId="2" borderId="0" xfId="1" applyNumberFormat="1" applyFont="1" applyFill="1" applyBorder="1"/>
    <xf numFmtId="0" fontId="7" fillId="0" borderId="7" xfId="1" applyFont="1" applyFill="1" applyBorder="1"/>
    <xf numFmtId="0" fontId="2" fillId="7" borderId="7" xfId="1" applyFont="1" applyFill="1" applyBorder="1"/>
    <xf numFmtId="0" fontId="8" fillId="7" borderId="0" xfId="1" applyFont="1" applyFill="1"/>
    <xf numFmtId="10" fontId="7" fillId="2" borderId="8" xfId="1" applyNumberFormat="1" applyFont="1" applyFill="1" applyBorder="1"/>
    <xf numFmtId="0" fontId="7" fillId="7" borderId="0" xfId="1" applyFont="1" applyFill="1" applyBorder="1"/>
    <xf numFmtId="0" fontId="2" fillId="7" borderId="0" xfId="1" applyFont="1" applyFill="1"/>
    <xf numFmtId="3" fontId="7" fillId="7" borderId="7" xfId="1" applyNumberFormat="1" applyFont="1" applyFill="1" applyBorder="1"/>
    <xf numFmtId="3" fontId="7" fillId="7" borderId="0" xfId="1" applyNumberFormat="1" applyFont="1" applyFill="1" applyBorder="1"/>
    <xf numFmtId="3" fontId="7" fillId="7" borderId="8" xfId="1" applyNumberFormat="1" applyFont="1" applyFill="1" applyBorder="1"/>
    <xf numFmtId="10" fontId="7" fillId="7" borderId="7" xfId="1" applyNumberFormat="1" applyFont="1" applyFill="1" applyBorder="1"/>
    <xf numFmtId="10" fontId="7" fillId="7" borderId="0" xfId="1" applyNumberFormat="1" applyFont="1" applyFill="1"/>
    <xf numFmtId="10" fontId="7" fillId="7" borderId="8" xfId="1" applyNumberFormat="1" applyFont="1" applyFill="1" applyBorder="1"/>
    <xf numFmtId="10" fontId="2" fillId="0" borderId="7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  <xf numFmtId="10" fontId="2" fillId="0" borderId="8" xfId="1" quotePrefix="1" applyNumberFormat="1" applyFont="1" applyFill="1" applyBorder="1" applyAlignment="1">
      <alignment horizontal="right"/>
    </xf>
    <xf numFmtId="0" fontId="8" fillId="7" borderId="7" xfId="1" applyFont="1" applyFill="1" applyBorder="1"/>
    <xf numFmtId="0" fontId="8" fillId="7" borderId="0" xfId="1" applyFont="1" applyFill="1" applyBorder="1"/>
    <xf numFmtId="3" fontId="2" fillId="2" borderId="20" xfId="1" applyNumberFormat="1" applyFont="1" applyFill="1" applyBorder="1"/>
    <xf numFmtId="10" fontId="2" fillId="2" borderId="21" xfId="1" quotePrefix="1" applyNumberFormat="1" applyFont="1" applyFill="1" applyBorder="1" applyAlignment="1">
      <alignment horizontal="right"/>
    </xf>
    <xf numFmtId="10" fontId="2" fillId="2" borderId="0" xfId="1" quotePrefix="1" applyNumberFormat="1" applyFont="1" applyFill="1" applyBorder="1" applyAlignment="1">
      <alignment horizontal="right"/>
    </xf>
    <xf numFmtId="10" fontId="2" fillId="2" borderId="8" xfId="1" quotePrefix="1" applyNumberFormat="1" applyFont="1" applyFill="1" applyBorder="1" applyAlignment="1">
      <alignment horizontal="right"/>
    </xf>
    <xf numFmtId="10" fontId="7" fillId="2" borderId="22" xfId="1" applyNumberFormat="1" applyFont="1" applyFill="1" applyBorder="1"/>
    <xf numFmtId="10" fontId="7" fillId="2" borderId="23" xfId="1" applyNumberFormat="1" applyFont="1" applyFill="1" applyBorder="1"/>
    <xf numFmtId="10" fontId="9" fillId="7" borderId="24" xfId="1" applyNumberFormat="1" applyFont="1" applyFill="1" applyBorder="1"/>
    <xf numFmtId="0" fontId="2" fillId="5" borderId="0" xfId="1" applyFill="1" applyBorder="1"/>
    <xf numFmtId="0" fontId="7" fillId="5" borderId="0" xfId="1" quotePrefix="1" applyFont="1" applyFill="1" applyBorder="1"/>
  </cellXfs>
  <cellStyles count="124">
    <cellStyle name="Comma 10" xfId="4"/>
    <cellStyle name="Comma 10 2" xfId="5"/>
    <cellStyle name="Comma 2" xfId="6"/>
    <cellStyle name="Comma 2 2" xfId="7"/>
    <cellStyle name="Comma 2 2 2" xfId="8"/>
    <cellStyle name="Comma 2 3" xfId="9"/>
    <cellStyle name="Comma 2 3 2" xfId="10"/>
    <cellStyle name="Comma 2 3 2 2" xfId="11"/>
    <cellStyle name="Comma 2 3 3" xfId="12"/>
    <cellStyle name="Comma 2 3 4" xfId="13"/>
    <cellStyle name="Comma 2 4" xfId="14"/>
    <cellStyle name="Comma 2 4 2" xfId="15"/>
    <cellStyle name="Comma 2 5" xfId="16"/>
    <cellStyle name="Comma 3" xfId="17"/>
    <cellStyle name="Comma 3 2" xfId="3"/>
    <cellStyle name="Comma 3 3" xfId="18"/>
    <cellStyle name="Comma 3 3 2" xfId="19"/>
    <cellStyle name="Comma 4" xfId="20"/>
    <cellStyle name="Comma 4 2" xfId="21"/>
    <cellStyle name="Comma 4 2 2" xfId="22"/>
    <cellStyle name="Comma 5" xfId="23"/>
    <cellStyle name="Comma 5 2" xfId="24"/>
    <cellStyle name="Comma 5 2 2" xfId="25"/>
    <cellStyle name="Comma 6" xfId="26"/>
    <cellStyle name="Comma 6 2" xfId="27"/>
    <cellStyle name="Comma 6 2 2" xfId="28"/>
    <cellStyle name="Comma 6 3" xfId="29"/>
    <cellStyle name="Comma 6 3 2" xfId="30"/>
    <cellStyle name="Comma 6 4" xfId="31"/>
    <cellStyle name="Comma 6 4 2" xfId="32"/>
    <cellStyle name="Comma 6 5" xfId="33"/>
    <cellStyle name="Comma 7" xfId="34"/>
    <cellStyle name="Comma 7 2" xfId="35"/>
    <cellStyle name="Comma 8" xfId="36"/>
    <cellStyle name="Comma 8 2" xfId="37"/>
    <cellStyle name="Comma 8 2 2" xfId="38"/>
    <cellStyle name="Comma 8 3" xfId="39"/>
    <cellStyle name="Comma 8 3 2" xfId="40"/>
    <cellStyle name="Comma 8 4" xfId="41"/>
    <cellStyle name="Comma 8 4 2" xfId="42"/>
    <cellStyle name="Comma 8 5" xfId="43"/>
    <cellStyle name="Comma 9" xfId="44"/>
    <cellStyle name="Comma 9 2" xfId="45"/>
    <cellStyle name="Comma 9 3" xfId="46"/>
    <cellStyle name="Comma0" xfId="47"/>
    <cellStyle name="Comma0 2" xfId="48"/>
    <cellStyle name="Currency0" xfId="49"/>
    <cellStyle name="Currency0 2" xfId="50"/>
    <cellStyle name="Date" xfId="51"/>
    <cellStyle name="Date 2" xfId="52"/>
    <cellStyle name="Fixed" xfId="53"/>
    <cellStyle name="Fixed 2" xfId="54"/>
    <cellStyle name="Heading 1 2" xfId="55"/>
    <cellStyle name="Heading 2 2" xfId="56"/>
    <cellStyle name="Normal" xfId="0" builtinId="0"/>
    <cellStyle name="Normal 10" xfId="57"/>
    <cellStyle name="Normal 11" xfId="58"/>
    <cellStyle name="Normal 12" xfId="59"/>
    <cellStyle name="Normal 13" xfId="60"/>
    <cellStyle name="Normal 13 2" xfId="61"/>
    <cellStyle name="Normal 14" xfId="62"/>
    <cellStyle name="Normal 15" xfId="63"/>
    <cellStyle name="Normal 15 2" xfId="64"/>
    <cellStyle name="Normal 16" xfId="65"/>
    <cellStyle name="Normal 17" xfId="66"/>
    <cellStyle name="Normal 17 2" xfId="67"/>
    <cellStyle name="Normal 17 2 2" xfId="68"/>
    <cellStyle name="Normal 17 3" xfId="69"/>
    <cellStyle name="Normal 17 3 2" xfId="70"/>
    <cellStyle name="Normal 17 4" xfId="71"/>
    <cellStyle name="Normal 17 4 2" xfId="72"/>
    <cellStyle name="Normal 17 5" xfId="73"/>
    <cellStyle name="Normal 18" xfId="74"/>
    <cellStyle name="Normal 18 2" xfId="75"/>
    <cellStyle name="Normal 19" xfId="76"/>
    <cellStyle name="Normal 19 2" xfId="77"/>
    <cellStyle name="Normal 2" xfId="78"/>
    <cellStyle name="Normal 2 2" xfId="79"/>
    <cellStyle name="Normal 2 2 2" xfId="80"/>
    <cellStyle name="Normal 2 2 3" xfId="81"/>
    <cellStyle name="Normal 20" xfId="82"/>
    <cellStyle name="Normal 20 2" xfId="83"/>
    <cellStyle name="Normal 20 2 2" xfId="84"/>
    <cellStyle name="Normal 20 3" xfId="85"/>
    <cellStyle name="Normal 20 3 2" xfId="86"/>
    <cellStyle name="Normal 20 4" xfId="87"/>
    <cellStyle name="Normal 20 4 2" xfId="88"/>
    <cellStyle name="Normal 20 5" xfId="89"/>
    <cellStyle name="Normal 21" xfId="90"/>
    <cellStyle name="Normal 21 2" xfId="91"/>
    <cellStyle name="Normal 21 3" xfId="92"/>
    <cellStyle name="Normal 22" xfId="93"/>
    <cellStyle name="Normal 23" xfId="94"/>
    <cellStyle name="Normal 24" xfId="95"/>
    <cellStyle name="Normal 3" xfId="96"/>
    <cellStyle name="Normal 3 2" xfId="97"/>
    <cellStyle name="Normal 3 2 2" xfId="98"/>
    <cellStyle name="Normal 3 2 3" xfId="99"/>
    <cellStyle name="Normal 3 3" xfId="100"/>
    <cellStyle name="Normal 4" xfId="1"/>
    <cellStyle name="Normal 4 2" xfId="101"/>
    <cellStyle name="Normal 4 3" xfId="102"/>
    <cellStyle name="Normal 4 3 2" xfId="103"/>
    <cellStyle name="Normal 5" xfId="104"/>
    <cellStyle name="Normal 5 2" xfId="105"/>
    <cellStyle name="Normal 6" xfId="106"/>
    <cellStyle name="Normal 6 2" xfId="2"/>
    <cellStyle name="Normal 6 2 2" xfId="107"/>
    <cellStyle name="Normal 7" xfId="108"/>
    <cellStyle name="Normal 7 2" xfId="109"/>
    <cellStyle name="Normal 7 3" xfId="110"/>
    <cellStyle name="Normal 8" xfId="111"/>
    <cellStyle name="Normal 8 2" xfId="112"/>
    <cellStyle name="Normal 9" xfId="113"/>
    <cellStyle name="Percent 2" xfId="114"/>
    <cellStyle name="Percent 3" xfId="115"/>
    <cellStyle name="PSChar" xfId="116"/>
    <cellStyle name="PSDate" xfId="117"/>
    <cellStyle name="PSDec" xfId="118"/>
    <cellStyle name="PSHeading" xfId="119"/>
    <cellStyle name="PSInt" xfId="120"/>
    <cellStyle name="PSSpacer" xfId="121"/>
    <cellStyle name="Total 2" xfId="122"/>
    <cellStyle name="Total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SWG133/Attendance/CCFS/CCFS%20320%2012-13/Annual/320%20Annual%20combin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2-13 Annual"/>
      <sheetName val="320 Annual - CUSHION"/>
      <sheetName val="320 Annual - MEMO HRS"/>
      <sheetName val="320 Annual - MEMO FTES"/>
      <sheetName val="Pivot_MEMO Reasons HRS"/>
      <sheetName val="Pivot_MEMO Reasons FTES"/>
      <sheetName val="320 Annual HRS - 1136 JUNE"/>
      <sheetName val="320 Annual HRS - 1136 JUNE BS"/>
      <sheetName val="page 125 Adopted book"/>
    </sheetNames>
    <sheetDataSet>
      <sheetData sheetId="0"/>
      <sheetData sheetId="1">
        <row r="67">
          <cell r="D67">
            <v>4647.1547196361889</v>
          </cell>
          <cell r="E67">
            <v>1927.524380451428</v>
          </cell>
          <cell r="F67">
            <v>2486.6553989923818</v>
          </cell>
          <cell r="G67">
            <v>28.490857020952383</v>
          </cell>
          <cell r="H67">
            <v>4122.0126666666665</v>
          </cell>
          <cell r="I67">
            <v>37268.460952380956</v>
          </cell>
        </row>
        <row r="69">
          <cell r="D69">
            <v>-9.205877964241024</v>
          </cell>
          <cell r="E69">
            <v>-3.8183695809732581</v>
          </cell>
          <cell r="F69">
            <v>-4.9259918215154821</v>
          </cell>
          <cell r="G69">
            <v>-5.6439556815973742E-2</v>
          </cell>
          <cell r="H69">
            <v>-8.165586873199647</v>
          </cell>
          <cell r="I69">
            <v>-73.827734203254636</v>
          </cell>
        </row>
        <row r="70">
          <cell r="B70">
            <v>1.9809708347652611E-3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9"/>
  <sheetViews>
    <sheetView showGridLines="0" showZeros="0" tabSelected="1" zoomScaleNormal="100" workbookViewId="0">
      <selection activeCell="A2" sqref="A2"/>
    </sheetView>
  </sheetViews>
  <sheetFormatPr defaultColWidth="9.109375" defaultRowHeight="13.2" x14ac:dyDescent="0.25"/>
  <cols>
    <col min="1" max="1" width="3.109375" style="6" customWidth="1"/>
    <col min="2" max="2" width="3.44140625" style="6" customWidth="1"/>
    <col min="3" max="3" width="21" style="6" customWidth="1"/>
    <col min="4" max="4" width="14.109375" style="6" customWidth="1"/>
    <col min="5" max="5" width="8.33203125" style="6" customWidth="1"/>
    <col min="6" max="6" width="9.109375" style="6" customWidth="1"/>
    <col min="7" max="7" width="13.5546875" style="6" customWidth="1"/>
    <col min="8" max="8" width="8.33203125" style="6" customWidth="1"/>
    <col min="9" max="9" width="8" style="6" customWidth="1"/>
    <col min="10" max="10" width="8.33203125" style="6" customWidth="1"/>
    <col min="11" max="11" width="8.5546875" style="6" customWidth="1"/>
    <col min="12" max="12" width="7.88671875" style="6" customWidth="1"/>
    <col min="13" max="16384" width="9.109375" style="6"/>
  </cols>
  <sheetData>
    <row r="1" spans="1:247" s="3" customFormat="1" ht="19.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7" ht="6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47" ht="15.6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47" ht="15" x14ac:dyDescent="0.25">
      <c r="A4" s="9"/>
      <c r="B4" s="10"/>
      <c r="C4" s="11"/>
      <c r="D4" s="10"/>
      <c r="E4" s="12" t="s">
        <v>2</v>
      </c>
      <c r="F4" s="12"/>
      <c r="G4" s="13" t="s">
        <v>3</v>
      </c>
      <c r="H4" s="13"/>
      <c r="I4" s="10"/>
      <c r="J4" s="10"/>
      <c r="K4" s="10"/>
      <c r="L4" s="10"/>
    </row>
    <row r="5" spans="1:247" ht="15" x14ac:dyDescent="0.25">
      <c r="A5" s="14"/>
      <c r="B5" s="15"/>
      <c r="C5" s="15"/>
      <c r="D5" s="15"/>
      <c r="E5" s="16">
        <v>42965</v>
      </c>
      <c r="F5" s="16"/>
      <c r="G5" s="17">
        <f>E5</f>
        <v>42965</v>
      </c>
      <c r="H5" s="17"/>
      <c r="I5" s="17"/>
      <c r="J5" s="17"/>
      <c r="K5" s="17"/>
      <c r="L5" s="17"/>
    </row>
    <row r="6" spans="1:247" ht="6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47" ht="15.6" x14ac:dyDescent="0.3">
      <c r="A7" s="5"/>
      <c r="B7" s="5"/>
      <c r="C7" s="5"/>
      <c r="D7" s="18" t="s">
        <v>2</v>
      </c>
      <c r="E7" s="19"/>
      <c r="F7" s="19"/>
      <c r="G7" s="18" t="s">
        <v>4</v>
      </c>
      <c r="H7" s="19"/>
      <c r="I7" s="19"/>
      <c r="J7" s="19"/>
      <c r="K7" s="19"/>
      <c r="L7" s="19"/>
    </row>
    <row r="8" spans="1:247" ht="15" x14ac:dyDescent="0.25">
      <c r="A8" s="5"/>
      <c r="B8" s="5"/>
      <c r="C8" s="5"/>
      <c r="D8" s="20" t="str">
        <f>G4</f>
        <v>-1 Week Prior</v>
      </c>
      <c r="E8" s="21">
        <f>E5</f>
        <v>42965</v>
      </c>
      <c r="F8" s="21"/>
      <c r="G8" s="20" t="str">
        <f>D8</f>
        <v>-1 Week Prior</v>
      </c>
      <c r="H8" s="21">
        <f>E8</f>
        <v>42965</v>
      </c>
      <c r="I8" s="21"/>
      <c r="J8" s="5"/>
      <c r="K8" s="5"/>
      <c r="L8" s="5"/>
    </row>
    <row r="9" spans="1:247" ht="13.5" customHeight="1" thickBot="1" x14ac:dyDescent="0.3">
      <c r="D9" s="22">
        <f>G5</f>
        <v>42965</v>
      </c>
      <c r="E9" s="22"/>
      <c r="F9" s="23"/>
      <c r="G9" s="24">
        <f>D9-364</f>
        <v>42601</v>
      </c>
      <c r="H9" s="24"/>
      <c r="I9" s="23"/>
    </row>
    <row r="10" spans="1:247" x14ac:dyDescent="0.25">
      <c r="D10" s="25" t="str">
        <f>D7</f>
        <v>Fall 2017</v>
      </c>
      <c r="E10" s="26" t="str">
        <f>G4</f>
        <v>-1 Week Prior</v>
      </c>
      <c r="F10" s="27"/>
      <c r="G10" s="28" t="str">
        <f>G7</f>
        <v>Fall 2016</v>
      </c>
      <c r="H10" s="29" t="str">
        <f>G4</f>
        <v>-1 Week Prior</v>
      </c>
      <c r="I10" s="30"/>
      <c r="J10" s="31" t="s">
        <v>5</v>
      </c>
      <c r="K10" s="32"/>
      <c r="L10" s="33"/>
    </row>
    <row r="11" spans="1:247" ht="13.8" thickBot="1" x14ac:dyDescent="0.3">
      <c r="D11" s="34" t="s">
        <v>6</v>
      </c>
      <c r="E11" s="35" t="s">
        <v>7</v>
      </c>
      <c r="F11" s="36" t="s">
        <v>8</v>
      </c>
      <c r="G11" s="37" t="s">
        <v>6</v>
      </c>
      <c r="H11" s="38" t="s">
        <v>7</v>
      </c>
      <c r="I11" s="38" t="s">
        <v>8</v>
      </c>
      <c r="J11" s="37" t="s">
        <v>6</v>
      </c>
      <c r="K11" s="38" t="s">
        <v>7</v>
      </c>
      <c r="L11" s="39" t="s">
        <v>8</v>
      </c>
    </row>
    <row r="12" spans="1:247" x14ac:dyDescent="0.25">
      <c r="A12" s="40" t="s">
        <v>9</v>
      </c>
      <c r="B12" s="41"/>
      <c r="C12" s="41"/>
      <c r="D12" s="42"/>
      <c r="E12" s="43"/>
      <c r="F12" s="44"/>
      <c r="G12" s="42"/>
      <c r="H12" s="43"/>
      <c r="I12" s="43"/>
      <c r="J12" s="45"/>
      <c r="K12" s="46"/>
      <c r="L12" s="47"/>
    </row>
    <row r="13" spans="1:247" ht="5.25" customHeight="1" x14ac:dyDescent="0.25">
      <c r="A13" s="48"/>
      <c r="B13" s="49"/>
      <c r="C13" s="49"/>
      <c r="D13" s="50"/>
      <c r="E13" s="51"/>
      <c r="F13" s="52"/>
      <c r="G13" s="50"/>
      <c r="H13" s="53"/>
      <c r="I13" s="53"/>
      <c r="J13" s="54"/>
      <c r="K13" s="55"/>
      <c r="L13" s="56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</row>
    <row r="14" spans="1:247" ht="12.75" customHeight="1" x14ac:dyDescent="0.25">
      <c r="A14" s="48"/>
      <c r="B14" s="49" t="s">
        <v>10</v>
      </c>
      <c r="C14" s="49"/>
      <c r="D14" s="50">
        <v>170357.60586799998</v>
      </c>
      <c r="E14" s="51">
        <v>47882.055876999912</v>
      </c>
      <c r="F14" s="52">
        <f>IF(E14+D14=0," ",E14+D14)</f>
        <v>218239.6617449999</v>
      </c>
      <c r="G14" s="50">
        <v>174929.99409999984</v>
      </c>
      <c r="H14" s="51">
        <v>54560.17646499988</v>
      </c>
      <c r="I14" s="53">
        <f>IF(H14+G14=0," ",H14+G14)</f>
        <v>229490.17056499972</v>
      </c>
      <c r="J14" s="54">
        <f>ROUND((D14-G14)/G14,4)</f>
        <v>-2.6100000000000002E-2</v>
      </c>
      <c r="K14" s="55">
        <f>ROUND((E14-H14)/H14,4)</f>
        <v>-0.12239999999999999</v>
      </c>
      <c r="L14" s="56">
        <f>IF((F14-I14)/I14=0," ",ROUND((F14-I14)/I14,4))</f>
        <v>-4.9000000000000002E-2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</row>
    <row r="15" spans="1:247" s="58" customFormat="1" ht="12.75" customHeight="1" x14ac:dyDescent="0.25">
      <c r="A15" s="57"/>
      <c r="B15" s="58" t="s">
        <v>11</v>
      </c>
      <c r="D15" s="59">
        <v>18458.540413999937</v>
      </c>
      <c r="E15" s="60">
        <v>2945.0687950000006</v>
      </c>
      <c r="F15" s="61">
        <f>+D15+E15</f>
        <v>21403.609208999937</v>
      </c>
      <c r="G15" s="59">
        <v>18409.029244999951</v>
      </c>
      <c r="H15" s="60">
        <v>3385.5105580000009</v>
      </c>
      <c r="I15" s="62">
        <f>IF(H15+G15=0," ",H15+G15)</f>
        <v>21794.539802999952</v>
      </c>
      <c r="J15" s="63">
        <f t="shared" ref="J15:L16" si="0">ROUND((D15-G15)/(G15),4)</f>
        <v>2.7000000000000001E-3</v>
      </c>
      <c r="K15" s="64">
        <f t="shared" si="0"/>
        <v>-0.13009999999999999</v>
      </c>
      <c r="L15" s="65">
        <f t="shared" si="0"/>
        <v>-1.7899999999999999E-2</v>
      </c>
    </row>
    <row r="16" spans="1:247" s="58" customFormat="1" ht="12.75" customHeight="1" x14ac:dyDescent="0.25">
      <c r="A16" s="57"/>
      <c r="B16" s="58" t="s">
        <v>12</v>
      </c>
      <c r="D16" s="66">
        <v>5710.4293289999996</v>
      </c>
      <c r="E16" s="67">
        <v>1387.4423380000001</v>
      </c>
      <c r="F16" s="68">
        <f>+D16+E16</f>
        <v>7097.8716669999994</v>
      </c>
      <c r="G16" s="59">
        <v>5710.4293289999996</v>
      </c>
      <c r="H16" s="62">
        <v>1387.4423380000001</v>
      </c>
      <c r="I16" s="62">
        <f>IF(H16+G16=0," ",H16+G16)</f>
        <v>7097.8716669999994</v>
      </c>
      <c r="J16" s="63">
        <f t="shared" si="0"/>
        <v>0</v>
      </c>
      <c r="K16" s="64">
        <f t="shared" si="0"/>
        <v>0</v>
      </c>
      <c r="L16" s="65">
        <f t="shared" si="0"/>
        <v>0</v>
      </c>
    </row>
    <row r="17" spans="1:247" s="58" customFormat="1" ht="12.75" customHeight="1" x14ac:dyDescent="0.25">
      <c r="A17" s="57"/>
      <c r="B17" s="58" t="s">
        <v>13</v>
      </c>
      <c r="D17" s="66">
        <f>+G17</f>
        <v>16577.117579999998</v>
      </c>
      <c r="E17" s="67">
        <f>+H17</f>
        <v>0</v>
      </c>
      <c r="F17" s="68">
        <f>+D17+E17</f>
        <v>16577.117579999998</v>
      </c>
      <c r="G17" s="59">
        <v>16577.117579999998</v>
      </c>
      <c r="H17" s="62">
        <v>0</v>
      </c>
      <c r="I17" s="62">
        <f>IF(H17+G17=0," ",H17+G17)</f>
        <v>16577.117579999998</v>
      </c>
      <c r="J17" s="63">
        <f>ROUND((D17-G17)/(G17),4)</f>
        <v>0</v>
      </c>
      <c r="K17" s="64"/>
      <c r="L17" s="65">
        <f>ROUND((F17-I17)/(I17),4)</f>
        <v>0</v>
      </c>
    </row>
    <row r="18" spans="1:247" ht="7.95" customHeight="1" x14ac:dyDescent="0.25">
      <c r="A18" s="69"/>
      <c r="B18" s="70"/>
      <c r="D18" s="71"/>
      <c r="E18" s="72"/>
      <c r="F18" s="73"/>
      <c r="G18" s="71"/>
      <c r="I18" s="74"/>
      <c r="J18" s="63"/>
      <c r="K18" s="64"/>
      <c r="L18" s="65"/>
    </row>
    <row r="19" spans="1:247" ht="13.8" thickBot="1" x14ac:dyDescent="0.3">
      <c r="A19" s="69"/>
      <c r="C19" s="6" t="s">
        <v>14</v>
      </c>
      <c r="D19" s="75">
        <f t="shared" ref="D19:I19" si="1">SUM(D14:D18)</f>
        <v>211103.69319099991</v>
      </c>
      <c r="E19" s="76">
        <f t="shared" si="1"/>
        <v>52214.567009999912</v>
      </c>
      <c r="F19" s="77">
        <f t="shared" si="1"/>
        <v>263318.26020099985</v>
      </c>
      <c r="G19" s="75">
        <f t="shared" si="1"/>
        <v>215626.57025399979</v>
      </c>
      <c r="H19" s="76">
        <f t="shared" si="1"/>
        <v>59333.129360999883</v>
      </c>
      <c r="I19" s="76">
        <f t="shared" si="1"/>
        <v>274959.6996149997</v>
      </c>
      <c r="J19" s="78">
        <f>IF((D19-G19)/G19=0," ",ROUND((D19-G19)/G19,4))</f>
        <v>-2.1000000000000001E-2</v>
      </c>
      <c r="K19" s="79">
        <f>IF((E19-H19)/H19=0," ",ROUND((E19-H19)/H19,4))</f>
        <v>-0.12</v>
      </c>
      <c r="L19" s="80">
        <f>IF((F19-I19)/I19=0," ",ROUND((F19-I19)/I19,4))</f>
        <v>-4.2299999999999997E-2</v>
      </c>
    </row>
    <row r="20" spans="1:247" ht="7.95" customHeight="1" thickTop="1" x14ac:dyDescent="0.25">
      <c r="A20" s="69"/>
      <c r="D20" s="71"/>
      <c r="E20" s="74"/>
      <c r="F20" s="73"/>
      <c r="G20" s="71"/>
      <c r="H20" s="81"/>
      <c r="I20" s="81"/>
      <c r="J20" s="63"/>
      <c r="K20" s="64"/>
      <c r="L20" s="65"/>
    </row>
    <row r="21" spans="1:247" ht="13.8" thickBot="1" x14ac:dyDescent="0.3">
      <c r="A21" s="82"/>
      <c r="B21" s="83"/>
      <c r="C21" s="83" t="s">
        <v>15</v>
      </c>
      <c r="D21" s="84">
        <f>(2195-67-54-203)+(4922)+21144</f>
        <v>27937</v>
      </c>
      <c r="E21" s="85">
        <v>4346</v>
      </c>
      <c r="F21" s="86">
        <f>IF(E21+D21=0," ",E21+D21)</f>
        <v>32283</v>
      </c>
      <c r="G21" s="84">
        <f>(2195-57-65)+(4922)+21187</f>
        <v>28182</v>
      </c>
      <c r="H21" s="85">
        <v>4864</v>
      </c>
      <c r="I21" s="85">
        <f>+G21+H21</f>
        <v>33046</v>
      </c>
      <c r="J21" s="87">
        <f>IF((D21-G21)/G21=0," ",ROUND((D21-G21)/G21,4))</f>
        <v>-8.6999999999999994E-3</v>
      </c>
      <c r="K21" s="88">
        <f>IF((E21-H21)/H21=0," ",ROUND((E21-H21)/H21,4))</f>
        <v>-0.1065</v>
      </c>
      <c r="L21" s="89">
        <f>IF((F21-I21)/I21=0," ",ROUND((F21-I21)/I21,4))</f>
        <v>-2.3099999999999999E-2</v>
      </c>
    </row>
    <row r="22" spans="1:247" x14ac:dyDescent="0.25">
      <c r="A22" s="40" t="s">
        <v>16</v>
      </c>
      <c r="B22" s="41"/>
      <c r="C22" s="41"/>
      <c r="D22" s="42"/>
      <c r="E22" s="43"/>
      <c r="F22" s="44"/>
      <c r="G22" s="42"/>
      <c r="H22" s="43"/>
      <c r="I22" s="43"/>
      <c r="J22" s="63"/>
      <c r="K22" s="64"/>
      <c r="L22" s="47"/>
    </row>
    <row r="23" spans="1:247" ht="5.25" customHeight="1" x14ac:dyDescent="0.25">
      <c r="A23" s="48"/>
      <c r="B23" s="49"/>
      <c r="C23" s="49"/>
      <c r="D23" s="50"/>
      <c r="E23" s="51"/>
      <c r="F23" s="52"/>
      <c r="G23" s="50"/>
      <c r="H23" s="53"/>
      <c r="I23" s="53"/>
      <c r="J23" s="54"/>
      <c r="K23" s="55"/>
      <c r="L23" s="56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</row>
    <row r="24" spans="1:247" ht="12.75" customHeight="1" x14ac:dyDescent="0.25">
      <c r="A24" s="48"/>
      <c r="B24" s="49" t="s">
        <v>10</v>
      </c>
      <c r="C24" s="49"/>
      <c r="D24" s="50">
        <v>99322.141164000088</v>
      </c>
      <c r="E24" s="51">
        <v>22893.029411</v>
      </c>
      <c r="F24" s="52">
        <f>IF(E24+D24=0," ",E24+D24)</f>
        <v>122215.17057500008</v>
      </c>
      <c r="G24" s="50">
        <v>97703.77587000007</v>
      </c>
      <c r="H24" s="51">
        <v>24637.804115000006</v>
      </c>
      <c r="I24" s="53">
        <f>IF(H24+G24=0," ",H24+G24)</f>
        <v>122341.57998500008</v>
      </c>
      <c r="J24" s="54">
        <f>ROUND((D24-G24)/G24,4)</f>
        <v>1.66E-2</v>
      </c>
      <c r="K24" s="55">
        <f>ROUND((E24-H24)/H24,4)</f>
        <v>-7.0800000000000002E-2</v>
      </c>
      <c r="L24" s="56">
        <f>IF((F24-I24)/I24=0," ",ROUND((F24-I24)/I24,4))</f>
        <v>-1E-3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</row>
    <row r="25" spans="1:247" s="58" customFormat="1" ht="12.75" customHeight="1" x14ac:dyDescent="0.25">
      <c r="A25" s="57"/>
      <c r="B25" s="58" t="str">
        <f>+B15</f>
        <v>Daily</v>
      </c>
      <c r="D25" s="59">
        <v>9586.1311330000008</v>
      </c>
      <c r="E25" s="60">
        <v>808.90587600000003</v>
      </c>
      <c r="F25" s="61">
        <f>IF(E25+D25=0," ",E25+D25)</f>
        <v>10395.037009000001</v>
      </c>
      <c r="G25" s="59">
        <v>8961.4670130000013</v>
      </c>
      <c r="H25" s="60">
        <v>827.529405</v>
      </c>
      <c r="I25" s="60">
        <f>IF(H25+G25=0," ",H25+G25)</f>
        <v>9788.9964180000006</v>
      </c>
      <c r="J25" s="63">
        <f t="shared" ref="J25:L26" si="2">ROUND((D25-G25)/(G25),4)</f>
        <v>6.9699999999999998E-2</v>
      </c>
      <c r="K25" s="64">
        <f t="shared" si="2"/>
        <v>-2.2499999999999999E-2</v>
      </c>
      <c r="L25" s="65">
        <f t="shared" si="2"/>
        <v>6.1899999999999997E-2</v>
      </c>
    </row>
    <row r="26" spans="1:247" s="58" customFormat="1" ht="12.75" customHeight="1" x14ac:dyDescent="0.25">
      <c r="A26" s="57"/>
      <c r="B26" s="58" t="str">
        <f>+B16</f>
        <v>Estimated Positive</v>
      </c>
      <c r="D26" s="59">
        <f>+G26</f>
        <v>2918.3599731176496</v>
      </c>
      <c r="E26" s="60">
        <f>+H26</f>
        <v>876.95293813235378</v>
      </c>
      <c r="F26" s="61">
        <f>IF(E26+D26=0," ",E26+D26)</f>
        <v>3795.3129112500033</v>
      </c>
      <c r="G26" s="59">
        <f>94.49927532*30.8823529411765</f>
        <v>2918.3599731176496</v>
      </c>
      <c r="H26" s="60">
        <f>28.39657133*30.8823529411765</f>
        <v>876.95293813235378</v>
      </c>
      <c r="I26" s="62">
        <f>IF(H26+G26=0," ",H26+G26)</f>
        <v>3795.3129112500033</v>
      </c>
      <c r="J26" s="63">
        <f t="shared" si="2"/>
        <v>0</v>
      </c>
      <c r="K26" s="64">
        <f t="shared" si="2"/>
        <v>0</v>
      </c>
      <c r="L26" s="65">
        <f t="shared" si="2"/>
        <v>0</v>
      </c>
    </row>
    <row r="27" spans="1:247" ht="7.95" customHeight="1" x14ac:dyDescent="0.25">
      <c r="A27" s="69"/>
      <c r="B27" s="70"/>
      <c r="D27" s="71"/>
      <c r="E27" s="72"/>
      <c r="F27" s="73"/>
      <c r="G27" s="71"/>
      <c r="I27" s="74"/>
      <c r="J27" s="63"/>
      <c r="K27" s="64"/>
      <c r="L27" s="65"/>
    </row>
    <row r="28" spans="1:247" ht="13.8" thickBot="1" x14ac:dyDescent="0.3">
      <c r="A28" s="69"/>
      <c r="C28" s="6" t="s">
        <v>14</v>
      </c>
      <c r="D28" s="75">
        <f t="shared" ref="D28:I28" si="3">SUM(D24:D27)</f>
        <v>111826.63227011774</v>
      </c>
      <c r="E28" s="76">
        <f t="shared" si="3"/>
        <v>24578.888225132356</v>
      </c>
      <c r="F28" s="77">
        <f t="shared" si="3"/>
        <v>136405.52049525009</v>
      </c>
      <c r="G28" s="75">
        <f t="shared" si="3"/>
        <v>109583.60285611772</v>
      </c>
      <c r="H28" s="76">
        <f t="shared" si="3"/>
        <v>26342.286458132363</v>
      </c>
      <c r="I28" s="76">
        <f t="shared" si="3"/>
        <v>135925.88931425009</v>
      </c>
      <c r="J28" s="78">
        <f>IF((D28-G28)/G28=0," ",ROUND((D28-G28)/G28,4))</f>
        <v>2.0500000000000001E-2</v>
      </c>
      <c r="K28" s="79">
        <f>IF((E28-H28)/H28=0," ",ROUND((E28-H28)/H28,4))</f>
        <v>-6.6900000000000001E-2</v>
      </c>
      <c r="L28" s="80">
        <f>IF((F28-I28)/I28=0," ",ROUND((F28-I28)/I28,4))</f>
        <v>3.5000000000000001E-3</v>
      </c>
    </row>
    <row r="29" spans="1:247" ht="7.95" customHeight="1" thickTop="1" x14ac:dyDescent="0.25">
      <c r="A29" s="69"/>
      <c r="D29" s="71"/>
      <c r="E29" s="74"/>
      <c r="F29" s="73"/>
      <c r="G29" s="71"/>
      <c r="H29" s="81"/>
      <c r="I29" s="81"/>
      <c r="J29" s="63"/>
      <c r="K29" s="64"/>
      <c r="L29" s="65"/>
    </row>
    <row r="30" spans="1:247" ht="13.8" thickBot="1" x14ac:dyDescent="0.3">
      <c r="A30" s="82"/>
      <c r="B30" s="83"/>
      <c r="C30" s="83" t="s">
        <v>15</v>
      </c>
      <c r="D30" s="84">
        <v>12837</v>
      </c>
      <c r="E30" s="85">
        <v>1671</v>
      </c>
      <c r="F30" s="86">
        <f>IF(E30+D30=0," ",E30+D30)</f>
        <v>14508</v>
      </c>
      <c r="G30" s="84">
        <v>12860</v>
      </c>
      <c r="H30" s="85">
        <v>1769</v>
      </c>
      <c r="I30" s="85">
        <f>+G30+H30</f>
        <v>14629</v>
      </c>
      <c r="J30" s="87">
        <f>IF((D30-G30)/G30=0," ",ROUND((D30-G30)/G30,4))</f>
        <v>-1.8E-3</v>
      </c>
      <c r="K30" s="88">
        <f>IF((E30-H30)/H30=0," ",ROUND((E30-H30)/H30,4))</f>
        <v>-5.5399999999999998E-2</v>
      </c>
      <c r="L30" s="89">
        <f>IF((F30-I30)/I30=0," ",ROUND((F30-I30)/I30,4))</f>
        <v>-8.3000000000000001E-3</v>
      </c>
    </row>
    <row r="31" spans="1:247" x14ac:dyDescent="0.25">
      <c r="A31" s="40" t="s">
        <v>17</v>
      </c>
      <c r="B31" s="41"/>
      <c r="C31" s="41"/>
      <c r="D31" s="42"/>
      <c r="E31" s="43"/>
      <c r="F31" s="44"/>
      <c r="G31" s="42"/>
      <c r="H31" s="43"/>
      <c r="I31" s="43"/>
      <c r="J31" s="63"/>
      <c r="K31" s="64"/>
      <c r="L31" s="47"/>
    </row>
    <row r="32" spans="1:247" ht="5.25" customHeight="1" x14ac:dyDescent="0.25">
      <c r="A32" s="48"/>
      <c r="B32" s="49"/>
      <c r="C32" s="49"/>
      <c r="D32" s="50"/>
      <c r="E32" s="51"/>
      <c r="F32" s="52"/>
      <c r="G32" s="50"/>
      <c r="H32" s="53"/>
      <c r="I32" s="53"/>
      <c r="J32" s="54"/>
      <c r="K32" s="55"/>
      <c r="L32" s="56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</row>
    <row r="33" spans="1:247" ht="12.75" customHeight="1" x14ac:dyDescent="0.25">
      <c r="A33" s="48"/>
      <c r="B33" s="49" t="s">
        <v>10</v>
      </c>
      <c r="C33" s="49"/>
      <c r="D33" s="50">
        <v>60314.441170999969</v>
      </c>
      <c r="E33" s="51">
        <v>15731.542352000004</v>
      </c>
      <c r="F33" s="52">
        <f>IF(E33+D33=0," ",E33+D33)</f>
        <v>76045.983522999974</v>
      </c>
      <c r="G33" s="50">
        <v>56628.088228999972</v>
      </c>
      <c r="H33" s="51">
        <v>19310.464705000009</v>
      </c>
      <c r="I33" s="53">
        <f>IF(H33+G33=0," ",H33+G33)</f>
        <v>75938.552933999978</v>
      </c>
      <c r="J33" s="54">
        <f>ROUND((D33-G33)/G33,4)</f>
        <v>6.5100000000000005E-2</v>
      </c>
      <c r="K33" s="55">
        <f>ROUND((E33-H33)/H33,4)</f>
        <v>-0.18529999999999999</v>
      </c>
      <c r="L33" s="56">
        <f>IF((F33-I33)/I33=0," ",ROUND((F33-I33)/I33,4))</f>
        <v>1.4E-3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</row>
    <row r="34" spans="1:247" s="58" customFormat="1" ht="12.75" customHeight="1" x14ac:dyDescent="0.25">
      <c r="A34" s="57"/>
      <c r="B34" s="58" t="str">
        <f>+B15</f>
        <v>Daily</v>
      </c>
      <c r="D34" s="59">
        <v>3494.5452759999989</v>
      </c>
      <c r="E34" s="60">
        <v>1231.1588180000001</v>
      </c>
      <c r="F34" s="61">
        <f>+D34+E34</f>
        <v>4725.7040939999988</v>
      </c>
      <c r="G34" s="59">
        <v>4726.0511650000008</v>
      </c>
      <c r="H34" s="60">
        <v>1109.3588200000002</v>
      </c>
      <c r="I34" s="62">
        <f>IF(H34+G34=0," ",H34+G34)</f>
        <v>5835.4099850000011</v>
      </c>
      <c r="J34" s="63">
        <f t="shared" ref="J34:L35" si="4">ROUND((D34-G34)/(G34),4)</f>
        <v>-0.2606</v>
      </c>
      <c r="K34" s="64">
        <f t="shared" si="4"/>
        <v>0.10979999999999999</v>
      </c>
      <c r="L34" s="65">
        <f t="shared" si="4"/>
        <v>-0.19020000000000001</v>
      </c>
    </row>
    <row r="35" spans="1:247" s="58" customFormat="1" ht="12.75" customHeight="1" x14ac:dyDescent="0.25">
      <c r="A35" s="57"/>
      <c r="B35" s="58" t="str">
        <f>+B16</f>
        <v>Estimated Positive</v>
      </c>
      <c r="D35" s="59">
        <f>+G35</f>
        <v>1609.7740957941191</v>
      </c>
      <c r="E35" s="60">
        <f>+H35</f>
        <v>754.76470310294189</v>
      </c>
      <c r="F35" s="61">
        <f>+D35+E35</f>
        <v>2364.538798897061</v>
      </c>
      <c r="G35" s="59">
        <f>52.12601834*30.8823529411765</f>
        <v>1609.7740957941191</v>
      </c>
      <c r="H35" s="62">
        <f>24.43999991*30.8823529411765</f>
        <v>754.76470310294189</v>
      </c>
      <c r="I35" s="62">
        <f>IF(H35+G35=0," ",H35+G35)</f>
        <v>2364.538798897061</v>
      </c>
      <c r="J35" s="63">
        <f t="shared" si="4"/>
        <v>0</v>
      </c>
      <c r="K35" s="64">
        <f t="shared" si="4"/>
        <v>0</v>
      </c>
      <c r="L35" s="65">
        <f t="shared" si="4"/>
        <v>0</v>
      </c>
    </row>
    <row r="36" spans="1:247" ht="7.95" customHeight="1" x14ac:dyDescent="0.25">
      <c r="A36" s="69"/>
      <c r="B36" s="70"/>
      <c r="D36" s="71"/>
      <c r="E36" s="72"/>
      <c r="F36" s="73"/>
      <c r="G36" s="71"/>
      <c r="I36" s="74"/>
      <c r="J36" s="63"/>
      <c r="K36" s="64"/>
      <c r="L36" s="65"/>
    </row>
    <row r="37" spans="1:247" ht="13.8" thickBot="1" x14ac:dyDescent="0.3">
      <c r="A37" s="69"/>
      <c r="C37" s="6" t="s">
        <v>14</v>
      </c>
      <c r="D37" s="75">
        <f t="shared" ref="D37:I37" si="5">SUM(D33:D36)</f>
        <v>65418.760542794087</v>
      </c>
      <c r="E37" s="76">
        <f t="shared" si="5"/>
        <v>17717.465873102945</v>
      </c>
      <c r="F37" s="77">
        <f t="shared" si="5"/>
        <v>83136.226415897036</v>
      </c>
      <c r="G37" s="75">
        <f t="shared" si="5"/>
        <v>62963.913489794089</v>
      </c>
      <c r="H37" s="76">
        <f t="shared" si="5"/>
        <v>21174.588228102952</v>
      </c>
      <c r="I37" s="76">
        <f t="shared" si="5"/>
        <v>84138.501717897045</v>
      </c>
      <c r="J37" s="78">
        <f>IF((D37-G37)/G37=0," ",ROUND((D37-G37)/G37,4))</f>
        <v>3.9E-2</v>
      </c>
      <c r="K37" s="79">
        <f>IF((E37-H37)/H37=0," ",ROUND((E37-H37)/H37,4))</f>
        <v>-0.1633</v>
      </c>
      <c r="L37" s="80">
        <f>IF((F37-I37)/I37=0," ",ROUND((F37-I37)/I37,4))</f>
        <v>-1.1900000000000001E-2</v>
      </c>
    </row>
    <row r="38" spans="1:247" ht="7.95" customHeight="1" thickTop="1" x14ac:dyDescent="0.25">
      <c r="A38" s="69"/>
      <c r="D38" s="71"/>
      <c r="E38" s="74"/>
      <c r="F38" s="73"/>
      <c r="G38" s="71"/>
      <c r="H38" s="81"/>
      <c r="I38" s="81"/>
      <c r="J38" s="63"/>
      <c r="K38" s="64"/>
      <c r="L38" s="65"/>
    </row>
    <row r="39" spans="1:247" ht="13.8" thickBot="1" x14ac:dyDescent="0.3">
      <c r="A39" s="82"/>
      <c r="B39" s="83"/>
      <c r="C39" s="83" t="s">
        <v>15</v>
      </c>
      <c r="D39" s="84">
        <v>7132</v>
      </c>
      <c r="E39" s="85">
        <v>1491</v>
      </c>
      <c r="F39" s="86">
        <f>IF(E39+D39=0," ",E39+D39)</f>
        <v>8623</v>
      </c>
      <c r="G39" s="84">
        <v>6973</v>
      </c>
      <c r="H39" s="85">
        <v>1686</v>
      </c>
      <c r="I39" s="85">
        <f>+G39+H39</f>
        <v>8659</v>
      </c>
      <c r="J39" s="87">
        <f>IF((D39-G39)/G39=0," ",ROUND((D39-G39)/G39,4))</f>
        <v>2.2800000000000001E-2</v>
      </c>
      <c r="K39" s="88">
        <f>IF((E39-H39)/H39=0," ",ROUND((E39-H39)/H39,4))</f>
        <v>-0.1157</v>
      </c>
      <c r="L39" s="89">
        <f>IF((F39-I39)/I39=0," ",ROUND((F39-I39)/I39,4))</f>
        <v>-4.1999999999999997E-3</v>
      </c>
    </row>
    <row r="40" spans="1:247" x14ac:dyDescent="0.25">
      <c r="A40" s="40" t="s">
        <v>18</v>
      </c>
      <c r="B40" s="41"/>
      <c r="C40" s="41"/>
      <c r="D40" s="42"/>
      <c r="E40" s="43"/>
      <c r="F40" s="44"/>
      <c r="G40" s="42"/>
      <c r="H40" s="43" t="s">
        <v>19</v>
      </c>
      <c r="I40" s="43"/>
      <c r="J40" s="63"/>
      <c r="K40" s="64"/>
      <c r="L40" s="47"/>
    </row>
    <row r="41" spans="1:247" ht="5.25" customHeight="1" x14ac:dyDescent="0.25">
      <c r="A41" s="48"/>
      <c r="B41" s="49"/>
      <c r="C41" s="49"/>
      <c r="D41" s="50"/>
      <c r="E41" s="51"/>
      <c r="F41" s="52"/>
      <c r="G41" s="50"/>
      <c r="H41" s="53"/>
      <c r="I41" s="53"/>
      <c r="J41" s="54"/>
      <c r="K41" s="55"/>
      <c r="L41" s="56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</row>
    <row r="42" spans="1:247" ht="12.75" customHeight="1" x14ac:dyDescent="0.25">
      <c r="A42" s="48"/>
      <c r="B42" s="49" t="s">
        <v>10</v>
      </c>
      <c r="C42" s="49"/>
      <c r="D42" s="50">
        <v>146738.3058559999</v>
      </c>
      <c r="E42" s="51">
        <v>30409.505873000009</v>
      </c>
      <c r="F42" s="52">
        <f>IF(E42+D42=0," ",E42+D42)</f>
        <v>177147.81172899992</v>
      </c>
      <c r="G42" s="50">
        <v>152785.56290900003</v>
      </c>
      <c r="H42" s="51">
        <v>35339.503522000006</v>
      </c>
      <c r="I42" s="53">
        <f>IF(H42+G42=0," ",H42+G42)</f>
        <v>188125.06643100004</v>
      </c>
      <c r="J42" s="54">
        <f>ROUND((D42-G42)/G42,4)</f>
        <v>-3.9600000000000003E-2</v>
      </c>
      <c r="K42" s="55">
        <f>ROUND((E42-H42)/H42,4)</f>
        <v>-0.13950000000000001</v>
      </c>
      <c r="L42" s="56">
        <f>IF((F42-I42)/I42=0," ",ROUND((F42-I42)/I42,4))</f>
        <v>-5.8400000000000001E-2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</row>
    <row r="43" spans="1:247" s="58" customFormat="1" ht="12.75" customHeight="1" x14ac:dyDescent="0.25">
      <c r="A43" s="57"/>
      <c r="B43" s="58" t="str">
        <f>+B15</f>
        <v>Daily</v>
      </c>
      <c r="D43" s="59">
        <v>16180.641090000001</v>
      </c>
      <c r="E43" s="60">
        <v>4171.9788040000003</v>
      </c>
      <c r="F43" s="61">
        <f>+D43+E43</f>
        <v>20352.619894000003</v>
      </c>
      <c r="G43" s="59">
        <v>13960.313446999999</v>
      </c>
      <c r="H43" s="60">
        <v>3756.0235059999991</v>
      </c>
      <c r="I43" s="62">
        <f>IF(H43+G43=0," ",H43+G43)</f>
        <v>17716.336952999998</v>
      </c>
      <c r="J43" s="63">
        <f t="shared" ref="J43:L44" si="6">ROUND((D43-G43)/(G43),4)</f>
        <v>0.159</v>
      </c>
      <c r="K43" s="64">
        <f t="shared" si="6"/>
        <v>0.11070000000000001</v>
      </c>
      <c r="L43" s="65">
        <f t="shared" si="6"/>
        <v>0.14879999999999999</v>
      </c>
    </row>
    <row r="44" spans="1:247" s="58" customFormat="1" ht="12.75" customHeight="1" x14ac:dyDescent="0.25">
      <c r="A44" s="57"/>
      <c r="B44" s="58" t="str">
        <f>+B16</f>
        <v>Estimated Positive</v>
      </c>
      <c r="D44" s="59">
        <f>+G44</f>
        <v>8698.3293044117727</v>
      </c>
      <c r="E44" s="60">
        <f>+H44</f>
        <v>267.72352400294142</v>
      </c>
      <c r="F44" s="61">
        <f>+D44+E44</f>
        <v>8966.0528284147149</v>
      </c>
      <c r="G44" s="59">
        <f>281.660187*30.8823529411765</f>
        <v>8698.3293044117727</v>
      </c>
      <c r="H44" s="62">
        <f>8.669142682*30.8823529411765</f>
        <v>267.72352400294142</v>
      </c>
      <c r="I44" s="62">
        <f>IF(H44+G44=0," ",H44+G44)</f>
        <v>8966.0528284147149</v>
      </c>
      <c r="J44" s="63">
        <f t="shared" si="6"/>
        <v>0</v>
      </c>
      <c r="K44" s="64">
        <f t="shared" si="6"/>
        <v>0</v>
      </c>
      <c r="L44" s="65">
        <f t="shared" si="6"/>
        <v>0</v>
      </c>
    </row>
    <row r="45" spans="1:247" ht="7.95" customHeight="1" x14ac:dyDescent="0.25">
      <c r="A45" s="69"/>
      <c r="B45" s="70"/>
      <c r="D45" s="71"/>
      <c r="E45" s="72"/>
      <c r="F45" s="73"/>
      <c r="G45" s="71"/>
      <c r="I45" s="74"/>
      <c r="J45" s="63"/>
      <c r="K45" s="64"/>
      <c r="L45" s="65"/>
    </row>
    <row r="46" spans="1:247" ht="13.8" thickBot="1" x14ac:dyDescent="0.3">
      <c r="A46" s="69"/>
      <c r="C46" s="6" t="s">
        <v>14</v>
      </c>
      <c r="D46" s="75">
        <f t="shared" ref="D46:I46" si="7">SUM(D42:D45)</f>
        <v>171617.27625041167</v>
      </c>
      <c r="E46" s="76">
        <f t="shared" si="7"/>
        <v>34849.208201002948</v>
      </c>
      <c r="F46" s="77">
        <f t="shared" si="7"/>
        <v>206466.48445141464</v>
      </c>
      <c r="G46" s="75">
        <f t="shared" si="7"/>
        <v>175444.2056604118</v>
      </c>
      <c r="H46" s="76">
        <f t="shared" si="7"/>
        <v>39363.250552002944</v>
      </c>
      <c r="I46" s="76">
        <f t="shared" si="7"/>
        <v>214807.45621241475</v>
      </c>
      <c r="J46" s="78">
        <f>IF((D46-G46)/G46=0," ",ROUND((D46-G46)/G46,4))</f>
        <v>-2.18E-2</v>
      </c>
      <c r="K46" s="79">
        <f>IF((E46-H46)/H46=0," ",ROUND((E46-H46)/H46,4))</f>
        <v>-0.1147</v>
      </c>
      <c r="L46" s="80">
        <f>IF((F46-I46)/I46=0," ",ROUND((F46-I46)/I46,4))</f>
        <v>-3.8800000000000001E-2</v>
      </c>
    </row>
    <row r="47" spans="1:247" ht="7.95" customHeight="1" thickTop="1" x14ac:dyDescent="0.25">
      <c r="A47" s="69"/>
      <c r="D47" s="71"/>
      <c r="E47" s="74"/>
      <c r="F47" s="73"/>
      <c r="G47" s="71"/>
      <c r="H47" s="81"/>
      <c r="I47" s="81"/>
      <c r="J47" s="63"/>
      <c r="K47" s="64"/>
      <c r="L47" s="65"/>
    </row>
    <row r="48" spans="1:247" ht="13.8" thickBot="1" x14ac:dyDescent="0.3">
      <c r="A48" s="82"/>
      <c r="B48" s="83"/>
      <c r="C48" s="83" t="s">
        <v>15</v>
      </c>
      <c r="D48" s="84">
        <f>(1496)+17890</f>
        <v>19386</v>
      </c>
      <c r="E48" s="85">
        <f>(208)+2292</f>
        <v>2500</v>
      </c>
      <c r="F48" s="86">
        <f>IF(E48+D48=0," ",E48+D48)</f>
        <v>21886</v>
      </c>
      <c r="G48" s="84">
        <f>(1496-1)+18091</f>
        <v>19586</v>
      </c>
      <c r="H48" s="85">
        <f>(208)+2847</f>
        <v>3055</v>
      </c>
      <c r="I48" s="90">
        <f>+G48+H48</f>
        <v>22641</v>
      </c>
      <c r="J48" s="87">
        <f>IF((D48-G48)/G48=0," ",ROUND((D48-G48)/G48,4))</f>
        <v>-1.0200000000000001E-2</v>
      </c>
      <c r="K48" s="88">
        <f>IF((E48-H48)/H48=0," ",ROUND((E48-H48)/H48,4))</f>
        <v>-0.1817</v>
      </c>
      <c r="L48" s="89">
        <f>IF((F48-I48)/I48=0," ",ROUND((F48-I48)/I48,4))</f>
        <v>-3.3300000000000003E-2</v>
      </c>
    </row>
    <row r="49" spans="1:247" x14ac:dyDescent="0.25">
      <c r="A49" s="40" t="s">
        <v>20</v>
      </c>
      <c r="B49" s="41"/>
      <c r="C49" s="41"/>
      <c r="D49" s="42"/>
      <c r="E49" s="43"/>
      <c r="F49" s="44"/>
      <c r="G49" s="42"/>
      <c r="H49" s="43"/>
      <c r="I49" s="43"/>
      <c r="J49" s="63"/>
      <c r="K49" s="64"/>
      <c r="L49" s="47"/>
    </row>
    <row r="50" spans="1:247" ht="5.25" customHeight="1" x14ac:dyDescent="0.25">
      <c r="A50" s="48"/>
      <c r="B50" s="49"/>
      <c r="C50" s="49"/>
      <c r="D50" s="50"/>
      <c r="E50" s="51"/>
      <c r="F50" s="52"/>
      <c r="G50" s="50"/>
      <c r="H50" s="53"/>
      <c r="I50" s="53"/>
      <c r="J50" s="54"/>
      <c r="K50" s="55"/>
      <c r="L50" s="5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</row>
    <row r="51" spans="1:247" ht="12.75" customHeight="1" x14ac:dyDescent="0.25">
      <c r="A51" s="48"/>
      <c r="B51" s="49" t="s">
        <v>10</v>
      </c>
      <c r="C51" s="49"/>
      <c r="D51" s="50">
        <f>IF(D14+D24+D33+D42=0," ",D14+D24+D33+D42)</f>
        <v>476732.49405899993</v>
      </c>
      <c r="E51" s="51">
        <f>IF(E14+E24+E33+E42=0," ",E14+E24+E33+E42)</f>
        <v>116916.13351299992</v>
      </c>
      <c r="F51" s="52">
        <f>IF(E51+D51=0," ",E51+D51)</f>
        <v>593648.62757199979</v>
      </c>
      <c r="G51" s="50">
        <f>IF(G14+G24+G33+G42=0," ",G14+G24+G33+G42)</f>
        <v>482047.42110799992</v>
      </c>
      <c r="H51" s="51">
        <f>IF(H14+H24+H33+H42=0," ",H14+H24+H33+H42)</f>
        <v>133847.94880699989</v>
      </c>
      <c r="I51" s="91">
        <f>IF(H51+G51=0," ",H51+G51)</f>
        <v>615895.36991499981</v>
      </c>
      <c r="J51" s="54">
        <f t="shared" ref="J51:K53" si="8">ROUND((D51-G51)/G51,4)</f>
        <v>-1.0999999999999999E-2</v>
      </c>
      <c r="K51" s="55">
        <f t="shared" si="8"/>
        <v>-0.1265</v>
      </c>
      <c r="L51" s="56">
        <f>IF((F51-I51)/I51=0," ",ROUND((F51-I51)/I51,4))</f>
        <v>-3.61E-2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</row>
    <row r="52" spans="1:247" s="58" customFormat="1" ht="12.75" customHeight="1" x14ac:dyDescent="0.25">
      <c r="A52" s="57"/>
      <c r="B52" s="58" t="str">
        <f>+B15</f>
        <v>Daily</v>
      </c>
      <c r="D52" s="59">
        <f>+D43+D34+D25+D15</f>
        <v>47719.857912999942</v>
      </c>
      <c r="E52" s="60">
        <f>+E43+E34+E25+E15</f>
        <v>9157.1122930000001</v>
      </c>
      <c r="F52" s="61">
        <f>IF(E52+D52=0," ",E52+D52)</f>
        <v>56876.97020599994</v>
      </c>
      <c r="G52" s="59">
        <f>+G43+G34+G25+G15</f>
        <v>46056.860869999946</v>
      </c>
      <c r="H52" s="60">
        <f>+H43+H34+H25+H15</f>
        <v>9078.4222890000001</v>
      </c>
      <c r="I52" s="68">
        <f>IF(H52+G52=0," ",H52+G52)</f>
        <v>55135.283158999948</v>
      </c>
      <c r="J52" s="92">
        <f t="shared" si="8"/>
        <v>3.61E-2</v>
      </c>
      <c r="K52" s="93">
        <f t="shared" si="8"/>
        <v>8.6999999999999994E-3</v>
      </c>
      <c r="L52" s="94">
        <f>IF((F52-I52)/I52=0," ",ROUND((F52-I52)/I52,4))</f>
        <v>3.1600000000000003E-2</v>
      </c>
    </row>
    <row r="53" spans="1:247" s="58" customFormat="1" ht="12.75" customHeight="1" x14ac:dyDescent="0.25">
      <c r="A53" s="57"/>
      <c r="B53" s="58" t="str">
        <f>+B16</f>
        <v>Estimated Positive</v>
      </c>
      <c r="D53" s="59">
        <f>+D16+D26+D35+D44</f>
        <v>18936.892702323541</v>
      </c>
      <c r="E53" s="60">
        <f>+E16+E26+E35+E44</f>
        <v>3286.8835032382372</v>
      </c>
      <c r="F53" s="61">
        <f>IF(E53+D53=0," ",E53+D53)</f>
        <v>22223.776205561779</v>
      </c>
      <c r="G53" s="59">
        <f>+G16+G26+G35+G44</f>
        <v>18936.892702323541</v>
      </c>
      <c r="H53" s="60">
        <f>+H16+H26+H35+H44</f>
        <v>3286.8835032382372</v>
      </c>
      <c r="I53" s="61">
        <f>IF(H53+G53=0," ",H53+G53)</f>
        <v>22223.776205561779</v>
      </c>
      <c r="J53" s="92">
        <f t="shared" si="8"/>
        <v>0</v>
      </c>
      <c r="K53" s="93">
        <f t="shared" si="8"/>
        <v>0</v>
      </c>
      <c r="L53" s="94" t="str">
        <f>IF((F53-I53)/I53=0," ",ROUND((F53-I53)/I53,4))</f>
        <v xml:space="preserve"> </v>
      </c>
    </row>
    <row r="54" spans="1:247" s="58" customFormat="1" ht="12.75" customHeight="1" x14ac:dyDescent="0.25">
      <c r="A54" s="57"/>
      <c r="B54" s="58" t="str">
        <f>+B17</f>
        <v>Estimated Special Positive</v>
      </c>
      <c r="D54" s="59">
        <f>+D17</f>
        <v>16577.117579999998</v>
      </c>
      <c r="E54" s="60">
        <f>+E17</f>
        <v>0</v>
      </c>
      <c r="F54" s="61">
        <f>IF(E54+D54=0," ",E54+D54)</f>
        <v>16577.117579999998</v>
      </c>
      <c r="G54" s="59">
        <f>+G17</f>
        <v>16577.117579999998</v>
      </c>
      <c r="H54" s="60">
        <f>+H17</f>
        <v>0</v>
      </c>
      <c r="I54" s="61">
        <f>IF(H54+G54=0," ",H54+G54)</f>
        <v>16577.117579999998</v>
      </c>
      <c r="J54" s="92"/>
      <c r="K54" s="93"/>
      <c r="L54" s="94"/>
    </row>
    <row r="55" spans="1:247" ht="6" customHeight="1" x14ac:dyDescent="0.25">
      <c r="A55" s="69"/>
      <c r="B55" s="70"/>
      <c r="D55" s="71"/>
      <c r="E55" s="72"/>
      <c r="F55" s="73"/>
      <c r="G55" s="71"/>
      <c r="I55" s="74"/>
      <c r="J55" s="63"/>
      <c r="K55" s="64"/>
      <c r="L55" s="65"/>
    </row>
    <row r="56" spans="1:247" ht="13.8" thickBot="1" x14ac:dyDescent="0.3">
      <c r="A56" s="69"/>
      <c r="C56" s="6" t="s">
        <v>14</v>
      </c>
      <c r="D56" s="75">
        <f t="shared" ref="D56:I56" si="9">SUM(D51:D55)</f>
        <v>559966.36225432332</v>
      </c>
      <c r="E56" s="76">
        <f t="shared" si="9"/>
        <v>129360.12930923815</v>
      </c>
      <c r="F56" s="77">
        <f t="shared" si="9"/>
        <v>689326.49156356149</v>
      </c>
      <c r="G56" s="75">
        <f t="shared" si="9"/>
        <v>563618.2922603233</v>
      </c>
      <c r="H56" s="76">
        <f t="shared" si="9"/>
        <v>146213.25459923813</v>
      </c>
      <c r="I56" s="76">
        <f t="shared" si="9"/>
        <v>709831.54685956158</v>
      </c>
      <c r="J56" s="78">
        <f>IF((D56-G56)/G56=0," ",ROUND((D56-G56)/G56,4))</f>
        <v>-6.4999999999999997E-3</v>
      </c>
      <c r="K56" s="79">
        <f>IF((E56-H56)/H56=0," ",ROUND((E56-H56)/H56,4))</f>
        <v>-0.1153</v>
      </c>
      <c r="L56" s="80">
        <f>IF((F56-I56)/I56=0," ",ROUND((F56-I56)/I56,4))</f>
        <v>-2.8899999999999999E-2</v>
      </c>
    </row>
    <row r="57" spans="1:247" ht="7.95" customHeight="1" thickTop="1" x14ac:dyDescent="0.25">
      <c r="A57" s="69"/>
      <c r="D57" s="71"/>
      <c r="E57" s="74"/>
      <c r="F57" s="73"/>
      <c r="G57" s="71"/>
      <c r="H57" s="81"/>
      <c r="I57" s="81"/>
      <c r="J57" s="63"/>
      <c r="K57" s="64"/>
      <c r="L57" s="65"/>
    </row>
    <row r="58" spans="1:247" s="72" customFormat="1" ht="13.8" thickBot="1" x14ac:dyDescent="0.3">
      <c r="A58" s="82"/>
      <c r="B58" s="83"/>
      <c r="C58" s="83" t="s">
        <v>15</v>
      </c>
      <c r="D58" s="84">
        <f>IF(D21+D30+D39+D48=0," ",D21+D30+D39+D48)</f>
        <v>67292</v>
      </c>
      <c r="E58" s="85">
        <f>IF(E21+E30+E39+E48=0," ",E21+E30+E39+E48)</f>
        <v>10008</v>
      </c>
      <c r="F58" s="86">
        <f>IF(E58+D58=0," ",E58+D58)</f>
        <v>77300</v>
      </c>
      <c r="G58" s="84">
        <f>IF(G21+G30+G39+G48=0," ",G21+G30+G39+G48)</f>
        <v>67601</v>
      </c>
      <c r="H58" s="85">
        <f>IF(H21+H30+H39+H48=0," ",H21+H30+H39+H48)</f>
        <v>11374</v>
      </c>
      <c r="I58" s="86">
        <f>IF(H58+G58=0," ",H58+G58)</f>
        <v>78975</v>
      </c>
      <c r="J58" s="87">
        <f>IF((D58-G58)/G58=0," ",ROUND((D58-G58)/G58,4))</f>
        <v>-4.5999999999999999E-3</v>
      </c>
      <c r="K58" s="88">
        <f>IF((E58-H58)/H58=0," ",ROUND((E58-H58)/H58,4))</f>
        <v>-0.1201</v>
      </c>
      <c r="L58" s="89">
        <f>IF((F58-I58)/I58=0," ",ROUND((F58-I58)/I58,4))</f>
        <v>-2.12E-2</v>
      </c>
    </row>
    <row r="59" spans="1:247" s="72" customFormat="1" ht="6.75" customHeight="1" x14ac:dyDescent="0.25">
      <c r="D59" s="74"/>
      <c r="E59" s="74"/>
      <c r="F59" s="74"/>
      <c r="G59" s="74"/>
      <c r="H59" s="74"/>
      <c r="I59" s="64"/>
      <c r="J59" s="64"/>
      <c r="K59" s="64"/>
    </row>
    <row r="60" spans="1:247" s="96" customFormat="1" ht="15" customHeight="1" x14ac:dyDescent="0.25">
      <c r="A60" s="95" t="s">
        <v>21</v>
      </c>
      <c r="D60" s="51"/>
      <c r="E60" s="51"/>
      <c r="F60" s="51"/>
      <c r="G60" s="51"/>
      <c r="H60" s="51"/>
      <c r="I60" s="97"/>
      <c r="J60" s="97"/>
      <c r="K60" s="97"/>
    </row>
    <row r="61" spans="1:247" s="101" customFormat="1" ht="15" customHeight="1" x14ac:dyDescent="0.25">
      <c r="A61" s="98"/>
      <c r="B61" s="99"/>
      <c r="C61" s="100" t="s">
        <v>22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23"/>
      <c r="S61" s="23"/>
      <c r="T61" s="23"/>
    </row>
    <row r="62" spans="1:247" s="101" customFormat="1" ht="15" customHeight="1" x14ac:dyDescent="0.25">
      <c r="A62" s="98"/>
      <c r="B62" s="99"/>
      <c r="C62" s="98" t="s">
        <v>23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23"/>
      <c r="S62" s="23"/>
      <c r="T62" s="23"/>
    </row>
    <row r="63" spans="1:247" s="106" customFormat="1" ht="15" customHeight="1" x14ac:dyDescent="0.25">
      <c r="A63" s="98"/>
      <c r="B63" s="99"/>
      <c r="C63" s="100" t="s">
        <v>24</v>
      </c>
      <c r="D63" s="102"/>
      <c r="E63" s="102"/>
      <c r="F63" s="102"/>
      <c r="G63" s="102"/>
      <c r="H63" s="102"/>
      <c r="I63" s="102"/>
      <c r="J63" s="103"/>
      <c r="K63" s="103"/>
      <c r="L63" s="103"/>
      <c r="M63" s="104"/>
      <c r="N63" s="104"/>
      <c r="O63" s="104"/>
      <c r="P63" s="104"/>
      <c r="Q63" s="104"/>
      <c r="R63" s="105"/>
      <c r="S63" s="105"/>
      <c r="T63" s="105"/>
    </row>
    <row r="64" spans="1:247" s="106" customFormat="1" ht="15" customHeight="1" x14ac:dyDescent="0.25">
      <c r="A64" s="98"/>
      <c r="B64" s="99"/>
      <c r="C64" s="98" t="s">
        <v>25</v>
      </c>
      <c r="D64" s="102"/>
      <c r="E64" s="102"/>
      <c r="F64" s="102"/>
      <c r="G64" s="102"/>
      <c r="H64" s="102"/>
      <c r="I64" s="102"/>
      <c r="J64" s="103"/>
      <c r="K64" s="103"/>
      <c r="L64" s="103"/>
      <c r="M64" s="104"/>
      <c r="N64" s="104"/>
      <c r="O64" s="104"/>
      <c r="P64" s="104"/>
      <c r="Q64" s="104"/>
      <c r="R64" s="105"/>
      <c r="S64" s="105"/>
      <c r="T64" s="105"/>
    </row>
    <row r="65" spans="1:20" s="101" customFormat="1" ht="15" customHeight="1" x14ac:dyDescent="0.25">
      <c r="A65" s="98"/>
      <c r="B65" s="98"/>
      <c r="C65" s="100" t="s">
        <v>26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23"/>
      <c r="S65" s="23"/>
      <c r="T65" s="23"/>
    </row>
    <row r="66" spans="1:20" s="101" customFormat="1" ht="15" customHeight="1" x14ac:dyDescent="0.25">
      <c r="A66" s="98"/>
      <c r="B66" s="98"/>
      <c r="C66" s="98" t="s">
        <v>27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23"/>
      <c r="S66" s="23"/>
      <c r="T66" s="23"/>
    </row>
    <row r="67" spans="1:20" x14ac:dyDescent="0.25">
      <c r="C67" s="107" t="s">
        <v>28</v>
      </c>
      <c r="D67" s="81"/>
      <c r="E67" s="81"/>
      <c r="F67" s="81"/>
      <c r="G67" s="81"/>
      <c r="H67" s="81"/>
      <c r="I67" s="81"/>
      <c r="J67" s="108"/>
      <c r="K67" s="108"/>
      <c r="L67" s="108"/>
    </row>
    <row r="68" spans="1:20" s="23" customFormat="1" x14ac:dyDescent="0.25">
      <c r="C68" s="109"/>
      <c r="I68" s="110"/>
    </row>
    <row r="69" spans="1:20" x14ac:dyDescent="0.25">
      <c r="H69" s="111" t="s">
        <v>29</v>
      </c>
      <c r="I69" s="110">
        <f>I58-2195-4922-1496-208+2444+1079+1358+407</f>
        <v>75442</v>
      </c>
    </row>
  </sheetData>
  <mergeCells count="12">
    <mergeCell ref="E8:F8"/>
    <mergeCell ref="H8:I8"/>
    <mergeCell ref="D9:E9"/>
    <mergeCell ref="G9:H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95" orientation="portrait" r:id="rId1"/>
  <headerFooter alignWithMargins="0">
    <oddFooter>&amp;L&amp;"Arial,Italic"&amp;8&amp;F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W84"/>
  <sheetViews>
    <sheetView showGridLines="0" showZeros="0" topLeftCell="A7" zoomScaleNormal="100" workbookViewId="0">
      <selection activeCell="C11" sqref="C11"/>
    </sheetView>
  </sheetViews>
  <sheetFormatPr defaultColWidth="9.109375" defaultRowHeight="13.2" x14ac:dyDescent="0.25"/>
  <cols>
    <col min="1" max="1" width="3.109375" style="58" customWidth="1"/>
    <col min="2" max="2" width="3.44140625" style="58" customWidth="1"/>
    <col min="3" max="3" width="22.88671875" style="58" customWidth="1"/>
    <col min="4" max="6" width="8.88671875" style="58" customWidth="1"/>
    <col min="7" max="7" width="1.5546875" style="58" customWidth="1"/>
    <col min="8" max="10" width="8.88671875" style="58" customWidth="1"/>
    <col min="11" max="11" width="1.44140625" style="131" customWidth="1"/>
    <col min="12" max="14" width="9" style="93" customWidth="1"/>
    <col min="15" max="15" width="0.6640625" style="105" hidden="1" customWidth="1"/>
    <col min="16" max="16" width="11.5546875" style="105" hidden="1" customWidth="1"/>
    <col min="17" max="17" width="8.33203125" style="105" hidden="1" customWidth="1"/>
    <col min="18" max="18" width="9" style="105" hidden="1" customWidth="1"/>
    <col min="19" max="19" width="9.44140625" style="105" hidden="1" customWidth="1"/>
    <col min="20" max="21" width="8" style="105" hidden="1" customWidth="1"/>
    <col min="22" max="22" width="1.88671875" style="105" customWidth="1"/>
    <col min="23" max="45" width="9.109375" style="105"/>
    <col min="46" max="16384" width="9.109375" style="58"/>
  </cols>
  <sheetData>
    <row r="1" spans="1:257" s="49" customFormat="1" x14ac:dyDescent="0.2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</row>
    <row r="2" spans="1:257" ht="6" customHeight="1" x14ac:dyDescent="0.25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116"/>
      <c r="N2" s="116"/>
      <c r="O2" s="117"/>
      <c r="P2" s="117"/>
      <c r="Q2" s="117"/>
      <c r="R2" s="117"/>
      <c r="S2" s="117"/>
    </row>
    <row r="3" spans="1:257" x14ac:dyDescent="0.25">
      <c r="A3" s="118" t="s">
        <v>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57" x14ac:dyDescent="0.25">
      <c r="A4" s="119" t="str">
        <f>+DW!E4</f>
        <v>Fall 2017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1:257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57" ht="7.95" customHeight="1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  <c r="M6" s="116"/>
      <c r="N6" s="116"/>
      <c r="O6" s="117"/>
      <c r="P6" s="117"/>
      <c r="Q6" s="117"/>
      <c r="R6" s="117"/>
      <c r="S6" s="117"/>
    </row>
    <row r="7" spans="1:257" x14ac:dyDescent="0.25">
      <c r="A7" s="115"/>
      <c r="B7" s="115"/>
      <c r="C7" s="115"/>
      <c r="D7" s="121" t="str">
        <f>+A4</f>
        <v>Fall 2017</v>
      </c>
      <c r="E7" s="122">
        <f>+DW!E8</f>
        <v>42965</v>
      </c>
      <c r="F7" s="123">
        <f>+DW!D9</f>
        <v>42965</v>
      </c>
      <c r="G7" s="115"/>
      <c r="H7" s="121" t="str">
        <f>+DW!G7</f>
        <v>Fall 2016</v>
      </c>
      <c r="I7" s="122">
        <f>+DW!H8</f>
        <v>42965</v>
      </c>
      <c r="J7" s="123">
        <f>+DW!G9</f>
        <v>42601</v>
      </c>
      <c r="K7" s="115"/>
      <c r="L7" s="124"/>
      <c r="M7" s="124"/>
      <c r="N7" s="124"/>
      <c r="O7" s="117"/>
      <c r="P7" s="125" t="s">
        <v>32</v>
      </c>
      <c r="Q7" s="126"/>
      <c r="R7" s="126"/>
      <c r="S7" s="126"/>
      <c r="T7" s="127"/>
      <c r="U7" s="127"/>
    </row>
    <row r="8" spans="1:257" x14ac:dyDescent="0.25">
      <c r="A8" s="115"/>
      <c r="B8" s="115"/>
      <c r="C8" s="115"/>
      <c r="D8" s="128" t="str">
        <f>+DW!D8</f>
        <v>-1 Week Prior</v>
      </c>
      <c r="E8" s="115"/>
      <c r="F8" s="115"/>
      <c r="G8" s="115"/>
      <c r="H8" s="128" t="str">
        <f>+DW!G8</f>
        <v>-1 Week Prior</v>
      </c>
      <c r="I8" s="117"/>
      <c r="J8" s="115"/>
      <c r="K8" s="115"/>
      <c r="L8" s="116"/>
      <c r="M8" s="116"/>
      <c r="N8" s="116"/>
      <c r="O8" s="117"/>
      <c r="P8" s="128" t="s">
        <v>33</v>
      </c>
      <c r="Q8" s="117"/>
      <c r="R8" s="117"/>
      <c r="S8" s="117"/>
      <c r="T8" s="129"/>
      <c r="U8" s="129"/>
    </row>
    <row r="9" spans="1:257" ht="6.6" customHeight="1" thickBot="1" x14ac:dyDescent="0.3">
      <c r="D9" s="130" t="s">
        <v>34</v>
      </c>
    </row>
    <row r="10" spans="1:257" x14ac:dyDescent="0.25">
      <c r="D10" s="132" t="str">
        <f>+D7</f>
        <v>Fall 2017</v>
      </c>
      <c r="E10" s="133"/>
      <c r="F10" s="134"/>
      <c r="G10" s="131"/>
      <c r="H10" s="135" t="str">
        <f>+H7</f>
        <v>Fall 2016</v>
      </c>
      <c r="I10" s="136"/>
      <c r="J10" s="137"/>
      <c r="L10" s="138" t="s">
        <v>5</v>
      </c>
      <c r="M10" s="139"/>
      <c r="N10" s="140"/>
      <c r="P10" s="141" t="s">
        <v>35</v>
      </c>
      <c r="Q10" s="142"/>
      <c r="R10" s="142"/>
      <c r="S10" s="141" t="s">
        <v>5</v>
      </c>
      <c r="T10" s="142"/>
      <c r="U10" s="143"/>
      <c r="V10" s="129"/>
    </row>
    <row r="11" spans="1:257" ht="13.8" thickBot="1" x14ac:dyDescent="0.3">
      <c r="D11" s="34" t="s">
        <v>6</v>
      </c>
      <c r="E11" s="35" t="s">
        <v>7</v>
      </c>
      <c r="F11" s="36" t="s">
        <v>8</v>
      </c>
      <c r="G11" s="131"/>
      <c r="H11" s="37" t="s">
        <v>6</v>
      </c>
      <c r="I11" s="144" t="s">
        <v>7</v>
      </c>
      <c r="J11" s="39" t="s">
        <v>8</v>
      </c>
      <c r="L11" s="145" t="s">
        <v>6</v>
      </c>
      <c r="M11" s="146" t="s">
        <v>7</v>
      </c>
      <c r="N11" s="147" t="s">
        <v>8</v>
      </c>
      <c r="P11" s="148" t="s">
        <v>6</v>
      </c>
      <c r="Q11" s="149" t="s">
        <v>7</v>
      </c>
      <c r="R11" s="149" t="s">
        <v>8</v>
      </c>
      <c r="S11" s="148" t="s">
        <v>6</v>
      </c>
      <c r="T11" s="149" t="s">
        <v>7</v>
      </c>
      <c r="U11" s="150" t="s">
        <v>8</v>
      </c>
      <c r="V11" s="129"/>
    </row>
    <row r="12" spans="1:257" x14ac:dyDescent="0.25">
      <c r="A12" s="40" t="s">
        <v>9</v>
      </c>
      <c r="B12" s="41"/>
      <c r="C12" s="41"/>
      <c r="D12" s="151"/>
      <c r="E12" s="152"/>
      <c r="F12" s="153"/>
      <c r="G12" s="131"/>
      <c r="H12" s="151"/>
      <c r="I12" s="152"/>
      <c r="J12" s="153"/>
      <c r="L12" s="154"/>
      <c r="M12" s="155"/>
      <c r="N12" s="156"/>
      <c r="P12" s="157"/>
      <c r="Q12" s="158"/>
      <c r="R12" s="158"/>
      <c r="S12" s="159"/>
      <c r="T12" s="160"/>
      <c r="U12" s="161"/>
      <c r="V12" s="129"/>
    </row>
    <row r="13" spans="1:257" ht="6" customHeight="1" x14ac:dyDescent="0.25">
      <c r="A13" s="48"/>
      <c r="B13" s="49"/>
      <c r="C13" s="49"/>
      <c r="D13" s="50"/>
      <c r="E13" s="51"/>
      <c r="F13" s="52"/>
      <c r="G13" s="131"/>
      <c r="H13" s="50"/>
      <c r="I13" s="51"/>
      <c r="J13" s="52"/>
      <c r="L13" s="54"/>
      <c r="M13" s="55"/>
      <c r="N13" s="56"/>
      <c r="P13" s="162"/>
      <c r="Q13" s="163"/>
      <c r="R13" s="163"/>
      <c r="S13" s="164"/>
      <c r="T13" s="165"/>
      <c r="U13" s="166"/>
      <c r="V13" s="167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</row>
    <row r="14" spans="1:257" ht="12.75" customHeight="1" x14ac:dyDescent="0.25">
      <c r="A14" s="48"/>
      <c r="B14" s="131" t="s">
        <v>36</v>
      </c>
      <c r="C14" s="49"/>
      <c r="D14" s="59">
        <v>187601.73041100008</v>
      </c>
      <c r="E14" s="168">
        <v>42855.889380999957</v>
      </c>
      <c r="F14" s="61">
        <f>IF(E14+D14=0," ",E14+D14)</f>
        <v>230457.61979200004</v>
      </c>
      <c r="G14" s="131"/>
      <c r="H14" s="59">
        <v>191324.27033900018</v>
      </c>
      <c r="I14" s="168">
        <v>49015.417604999901</v>
      </c>
      <c r="J14" s="61">
        <f>IF(I14+H14=0," ",I14+H14)</f>
        <v>240339.68794400009</v>
      </c>
      <c r="L14" s="92">
        <f>ROUND((D14-H14)/H14,4)</f>
        <v>-1.95E-2</v>
      </c>
      <c r="M14" s="93">
        <f>ROUND((E14-I14)/I14,4)</f>
        <v>-0.12570000000000001</v>
      </c>
      <c r="N14" s="56">
        <f>IF((F14-J14)/J14=0," ",ROUND((F14-J14)/J14,4))</f>
        <v>-4.1099999999999998E-2</v>
      </c>
      <c r="P14" s="162">
        <f>ROUND(136355.02-698+1980+14001+263,0)</f>
        <v>151901</v>
      </c>
      <c r="Q14" s="169">
        <f>ROUND(46694.11-139.67+462.06+546.5+1,0)</f>
        <v>47564</v>
      </c>
      <c r="R14" s="91">
        <f>SUM(P14:Q14)</f>
        <v>199465</v>
      </c>
      <c r="S14" s="170">
        <f t="shared" ref="S14:T17" si="0">ROUND((D14-P14)/P14,4)</f>
        <v>0.23499999999999999</v>
      </c>
      <c r="T14" s="171">
        <f t="shared" si="0"/>
        <v>-9.9000000000000005E-2</v>
      </c>
      <c r="U14" s="166">
        <f>IF((F14-R14)/R14=0," ",ROUND((F14-R14)/R14,4))</f>
        <v>0.15540000000000001</v>
      </c>
      <c r="V14" s="167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</row>
    <row r="15" spans="1:257" s="186" customFormat="1" x14ac:dyDescent="0.25">
      <c r="A15" s="172"/>
      <c r="B15" s="173" t="s">
        <v>15</v>
      </c>
      <c r="C15" s="173"/>
      <c r="D15" s="174">
        <v>24391</v>
      </c>
      <c r="E15" s="168">
        <v>2688</v>
      </c>
      <c r="F15" s="175">
        <f>IF(E15+D15=0," ",E15+D15)</f>
        <v>27079</v>
      </c>
      <c r="G15" s="173"/>
      <c r="H15" s="174">
        <v>24480</v>
      </c>
      <c r="I15" s="168">
        <v>3021</v>
      </c>
      <c r="J15" s="175">
        <f>IF(I15+H15=0," ",I15+H15)</f>
        <v>27501</v>
      </c>
      <c r="K15" s="131"/>
      <c r="L15" s="176">
        <f>ROUND((D15-H15)/H15,4)</f>
        <v>-3.5999999999999999E-3</v>
      </c>
      <c r="M15" s="177">
        <f>ROUND((E15-I15)/I15,4)</f>
        <v>-0.11020000000000001</v>
      </c>
      <c r="N15" s="178">
        <f>IF((F15-J15)/J15=0," ",ROUND((F15-J15)/J15,4))</f>
        <v>-1.5299999999999999E-2</v>
      </c>
      <c r="O15" s="109"/>
      <c r="P15" s="179">
        <v>6113.29</v>
      </c>
      <c r="Q15" s="180">
        <v>9625.7099999999991</v>
      </c>
      <c r="R15" s="181">
        <f>SUM(P15:Q15)</f>
        <v>15739</v>
      </c>
      <c r="S15" s="182">
        <f t="shared" si="0"/>
        <v>2.9897999999999998</v>
      </c>
      <c r="T15" s="183">
        <f t="shared" si="0"/>
        <v>-0.72070000000000001</v>
      </c>
      <c r="U15" s="184">
        <f>IF((F15-R15)/R15=0," ",ROUND((F15-R15)/R15,4))</f>
        <v>0.72050000000000003</v>
      </c>
      <c r="V15" s="185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257" ht="6" customHeight="1" x14ac:dyDescent="0.25">
      <c r="A16" s="57"/>
      <c r="B16" s="131"/>
      <c r="D16" s="59"/>
      <c r="E16" s="60"/>
      <c r="F16" s="61"/>
      <c r="G16" s="131"/>
      <c r="H16" s="59"/>
      <c r="I16" s="60"/>
      <c r="J16" s="61"/>
      <c r="K16" s="60"/>
      <c r="L16" s="92"/>
      <c r="N16" s="56"/>
      <c r="P16" s="66">
        <f>ROUND(266258.77+3453.5+88218+612,0)/17.5-P15</f>
        <v>14374.824285714283</v>
      </c>
      <c r="Q16" s="67">
        <f>ROUND(2736+18+363761.4+5106.8,0)/17.5-Q15</f>
        <v>11609.832857142857</v>
      </c>
      <c r="R16" s="68">
        <f>SUM(P16:Q16)</f>
        <v>25984.657142857141</v>
      </c>
      <c r="S16" s="170">
        <f t="shared" si="0"/>
        <v>-1</v>
      </c>
      <c r="T16" s="171">
        <f t="shared" si="0"/>
        <v>-1</v>
      </c>
      <c r="U16" s="187">
        <f>IF((F16-R16)/R16=0," ",ROUND((F16-R16)/R16,4))</f>
        <v>-1</v>
      </c>
      <c r="V16" s="129"/>
    </row>
    <row r="17" spans="1:257" s="105" customFormat="1" x14ac:dyDescent="0.25">
      <c r="A17" s="188"/>
      <c r="B17" s="189" t="s">
        <v>37</v>
      </c>
      <c r="C17" s="189"/>
      <c r="D17" s="66">
        <v>6924.8458709999986</v>
      </c>
      <c r="E17" s="67">
        <v>9358.6752909999977</v>
      </c>
      <c r="F17" s="68">
        <f>IF(E17+D17=0," ",E17+D17)</f>
        <v>16283.521161999997</v>
      </c>
      <c r="G17" s="129"/>
      <c r="H17" s="66">
        <v>7725.1823350000004</v>
      </c>
      <c r="I17" s="67">
        <v>10317.711756000001</v>
      </c>
      <c r="J17" s="68">
        <f>IF(I17+H17=0," ",I17+H17)</f>
        <v>18042.894091000002</v>
      </c>
      <c r="K17" s="67"/>
      <c r="L17" s="170">
        <f t="shared" ref="L17:N18" si="1">ROUND((D17-H17)/(H17),4)</f>
        <v>-0.1036</v>
      </c>
      <c r="M17" s="190">
        <f t="shared" si="1"/>
        <v>-9.2999999999999999E-2</v>
      </c>
      <c r="N17" s="187">
        <f t="shared" si="1"/>
        <v>-9.7500000000000003E-2</v>
      </c>
      <c r="P17" s="66">
        <f>ROUND(266258.77+3453.5+88218+612,0)/17.5-P16</f>
        <v>6113.2900000000009</v>
      </c>
      <c r="Q17" s="67">
        <f>ROUND(2736+18+363761.4+5106.8,0)/17.5-Q16</f>
        <v>9625.7099999999991</v>
      </c>
      <c r="R17" s="68">
        <f>SUM(P17:Q17)</f>
        <v>15739</v>
      </c>
      <c r="S17" s="170">
        <f t="shared" si="0"/>
        <v>0.1328</v>
      </c>
      <c r="T17" s="171">
        <f t="shared" si="0"/>
        <v>-2.7699999999999999E-2</v>
      </c>
      <c r="U17" s="187">
        <f>IF((F17-R17)/R17=0," ",ROUND((F17-R17)/R17,4))</f>
        <v>3.4599999999999999E-2</v>
      </c>
      <c r="V17" s="129"/>
    </row>
    <row r="18" spans="1:257" s="199" customFormat="1" x14ac:dyDescent="0.25">
      <c r="A18" s="191"/>
      <c r="B18" s="192" t="s">
        <v>15</v>
      </c>
      <c r="C18" s="192"/>
      <c r="D18" s="193">
        <v>1351</v>
      </c>
      <c r="E18" s="194">
        <v>1658</v>
      </c>
      <c r="F18" s="195">
        <f>IF(E18+D18=0," ",E18+D18)</f>
        <v>3009</v>
      </c>
      <c r="G18" s="192"/>
      <c r="H18" s="193">
        <v>1507</v>
      </c>
      <c r="I18" s="194">
        <v>1843</v>
      </c>
      <c r="J18" s="195">
        <f>IF(I18+H18=0," ",I18+H18)</f>
        <v>3350</v>
      </c>
      <c r="K18" s="194"/>
      <c r="L18" s="196">
        <f t="shared" si="1"/>
        <v>-0.10349999999999999</v>
      </c>
      <c r="M18" s="197">
        <f t="shared" si="1"/>
        <v>-0.1004</v>
      </c>
      <c r="N18" s="198">
        <f t="shared" si="1"/>
        <v>-0.1018</v>
      </c>
      <c r="O18" s="109"/>
      <c r="P18" s="179" t="e">
        <f>ROUND(740890.66+2256.48+63037.34+131.32,0)/17.5-#REF!</f>
        <v>#REF!</v>
      </c>
      <c r="Q18" s="180">
        <f>ROUND(17877.14+277,0)/17.5</f>
        <v>1037.3714285714286</v>
      </c>
      <c r="R18" s="181" t="e">
        <f>SUM(P18:Q18)</f>
        <v>#REF!</v>
      </c>
      <c r="S18" s="182"/>
      <c r="T18" s="183"/>
      <c r="U18" s="184"/>
      <c r="V18" s="185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257" ht="6" customHeight="1" x14ac:dyDescent="0.25">
      <c r="A19" s="57"/>
      <c r="B19" s="131"/>
      <c r="D19" s="59"/>
      <c r="E19" s="60"/>
      <c r="F19" s="61"/>
      <c r="G19" s="131"/>
      <c r="H19" s="59"/>
      <c r="I19" s="60"/>
      <c r="J19" s="61"/>
      <c r="K19" s="60"/>
      <c r="L19" s="92"/>
      <c r="N19" s="56"/>
      <c r="P19" s="66"/>
      <c r="Q19" s="67"/>
      <c r="R19" s="68"/>
      <c r="S19" s="170"/>
      <c r="T19" s="171"/>
      <c r="U19" s="187"/>
      <c r="V19" s="129"/>
    </row>
    <row r="20" spans="1:257" ht="6" customHeight="1" x14ac:dyDescent="0.25">
      <c r="A20" s="57"/>
      <c r="B20" s="131"/>
      <c r="D20" s="59"/>
      <c r="E20" s="60"/>
      <c r="F20" s="61"/>
      <c r="G20" s="131"/>
      <c r="H20" s="59"/>
      <c r="I20" s="60"/>
      <c r="J20" s="61"/>
      <c r="K20" s="60"/>
      <c r="L20" s="92"/>
      <c r="N20" s="56"/>
      <c r="P20" s="66"/>
      <c r="Q20" s="67"/>
      <c r="R20" s="68"/>
      <c r="S20" s="170"/>
      <c r="T20" s="171"/>
      <c r="U20" s="187"/>
      <c r="V20" s="129"/>
    </row>
    <row r="21" spans="1:257" s="105" customFormat="1" x14ac:dyDescent="0.25">
      <c r="A21" s="188"/>
      <c r="B21" s="189" t="s">
        <v>38</v>
      </c>
      <c r="C21" s="189"/>
      <c r="D21" s="66">
        <v>16577.117579999998</v>
      </c>
      <c r="E21" s="67">
        <v>0</v>
      </c>
      <c r="F21" s="68">
        <f>IF(E21+D21=0," ",E21+D21)</f>
        <v>16577.117579999998</v>
      </c>
      <c r="G21" s="129"/>
      <c r="H21" s="66">
        <v>16577.117579999998</v>
      </c>
      <c r="I21" s="67">
        <v>0</v>
      </c>
      <c r="J21" s="68">
        <f>IF(I21+H21=0," ",I21+H21)</f>
        <v>16577.117579999998</v>
      </c>
      <c r="K21" s="67"/>
      <c r="L21" s="170">
        <f t="shared" ref="L21:N22" si="2">ROUND((D21-H21)/(H21),4)</f>
        <v>0</v>
      </c>
      <c r="M21" s="190"/>
      <c r="N21" s="187">
        <f t="shared" si="2"/>
        <v>0</v>
      </c>
      <c r="P21" s="66">
        <f>ROUND(266258.77+3453.5+88218+612,0)/17.5-P20</f>
        <v>20488.114285714284</v>
      </c>
      <c r="Q21" s="67">
        <f>ROUND(2736+18+363761.4+5106.8,0)/17.5-Q20</f>
        <v>21235.542857142857</v>
      </c>
      <c r="R21" s="68">
        <f>SUM(P21:Q21)</f>
        <v>41723.657142857141</v>
      </c>
      <c r="S21" s="170">
        <f>ROUND((D21-P21)/P21,4)</f>
        <v>-0.19089999999999999</v>
      </c>
      <c r="T21" s="171">
        <f>ROUND((E21-Q21)/Q21,4)</f>
        <v>-1</v>
      </c>
      <c r="U21" s="187">
        <f>IF((F21-R21)/R21=0," ",ROUND((F21-R21)/R21,4))</f>
        <v>-0.60270000000000001</v>
      </c>
      <c r="V21" s="129"/>
    </row>
    <row r="22" spans="1:257" s="199" customFormat="1" x14ac:dyDescent="0.25">
      <c r="A22" s="191"/>
      <c r="B22" s="192" t="s">
        <v>15</v>
      </c>
      <c r="C22" s="192"/>
      <c r="D22" s="193">
        <v>2195</v>
      </c>
      <c r="E22" s="194">
        <v>0</v>
      </c>
      <c r="F22" s="195">
        <f>IF(E22+D22=0," ",E22+D22)</f>
        <v>2195</v>
      </c>
      <c r="G22" s="192"/>
      <c r="H22" s="193">
        <v>2195</v>
      </c>
      <c r="I22" s="194">
        <v>0</v>
      </c>
      <c r="J22" s="195">
        <f>IF(I22+H22=0," ",I22+H22)</f>
        <v>2195</v>
      </c>
      <c r="K22" s="194"/>
      <c r="L22" s="196">
        <f t="shared" si="2"/>
        <v>0</v>
      </c>
      <c r="M22" s="197"/>
      <c r="N22" s="198">
        <f t="shared" si="2"/>
        <v>0</v>
      </c>
      <c r="O22" s="109"/>
      <c r="P22" s="179" t="e">
        <f>ROUND(740890.66+2256.48+63037.34+131.32,0)/17.5-#REF!</f>
        <v>#REF!</v>
      </c>
      <c r="Q22" s="180">
        <f>ROUND(17877.14+277,0)/17.5</f>
        <v>1037.3714285714286</v>
      </c>
      <c r="R22" s="181" t="e">
        <f>SUM(P22:Q22)</f>
        <v>#REF!</v>
      </c>
      <c r="S22" s="182"/>
      <c r="T22" s="183"/>
      <c r="U22" s="184"/>
      <c r="V22" s="185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</row>
    <row r="23" spans="1:257" ht="12.75" customHeight="1" x14ac:dyDescent="0.25">
      <c r="A23" s="57"/>
      <c r="B23" s="131"/>
      <c r="D23" s="59"/>
      <c r="E23" s="60"/>
      <c r="F23" s="61"/>
      <c r="G23" s="131"/>
      <c r="H23" s="59"/>
      <c r="I23" s="60"/>
      <c r="J23" s="61"/>
      <c r="K23" s="60"/>
      <c r="L23" s="92"/>
      <c r="N23" s="56"/>
      <c r="P23" s="66"/>
      <c r="Q23" s="67"/>
      <c r="R23" s="68"/>
      <c r="S23" s="170"/>
      <c r="T23" s="171"/>
      <c r="U23" s="187"/>
      <c r="V23" s="129"/>
    </row>
    <row r="24" spans="1:257" ht="13.8" thickBot="1" x14ac:dyDescent="0.3">
      <c r="A24" s="57" t="s">
        <v>14</v>
      </c>
      <c r="D24" s="200">
        <f>SUM(,D17,D14,D21)</f>
        <v>211103.69386200007</v>
      </c>
      <c r="E24" s="201">
        <f>SUM(,E17,E14,E21)</f>
        <v>52214.564671999957</v>
      </c>
      <c r="F24" s="202">
        <f>SUM(D24:E24)</f>
        <v>263318.25853400002</v>
      </c>
      <c r="G24" s="131"/>
      <c r="H24" s="200">
        <f>SUM(,H17,H14,H21)</f>
        <v>215626.57025400017</v>
      </c>
      <c r="I24" s="201">
        <f>SUM(,I17,I14,I21)</f>
        <v>59333.129360999897</v>
      </c>
      <c r="J24" s="202">
        <f>+H24+I24</f>
        <v>274959.69961500005</v>
      </c>
      <c r="K24" s="60"/>
      <c r="L24" s="203">
        <f>ROUND((D24-H24)/H24,4)</f>
        <v>-2.1000000000000001E-2</v>
      </c>
      <c r="M24" s="204">
        <f>ROUND((E24-I24)/I24,4)</f>
        <v>-0.12</v>
      </c>
      <c r="N24" s="205">
        <f>IF((F24-J24)/J24=0," ",ROUND((F24-J24)/J24,4))</f>
        <v>-4.2299999999999997E-2</v>
      </c>
      <c r="P24" s="206" t="e">
        <f>SUM(P14:P19)</f>
        <v>#REF!</v>
      </c>
      <c r="Q24" s="207">
        <f>SUM(Q14:Q19)</f>
        <v>79462.624285714279</v>
      </c>
      <c r="R24" s="208" t="e">
        <f>SUM(R14:R19)</f>
        <v>#REF!</v>
      </c>
      <c r="S24" s="209" t="e">
        <f t="shared" ref="S24:U25" si="3">IF((D24-P24)/P24=0," ",ROUND((D24-P24)/P24,4))</f>
        <v>#REF!</v>
      </c>
      <c r="T24" s="210">
        <f t="shared" si="3"/>
        <v>-0.34289999999999998</v>
      </c>
      <c r="U24" s="211" t="e">
        <f t="shared" si="3"/>
        <v>#REF!</v>
      </c>
      <c r="V24" s="129"/>
      <c r="X24" s="212"/>
      <c r="Y24" s="213">
        <f>+J24-DW!I19</f>
        <v>0</v>
      </c>
    </row>
    <row r="25" spans="1:257" s="186" customFormat="1" ht="14.4" thickTop="1" thickBot="1" x14ac:dyDescent="0.3">
      <c r="A25" s="214" t="s">
        <v>39</v>
      </c>
      <c r="B25" s="215"/>
      <c r="C25" s="215"/>
      <c r="D25" s="216">
        <f>SUM(D18,D15,D22)</f>
        <v>27937</v>
      </c>
      <c r="E25" s="217">
        <f>+E15+E18+E22</f>
        <v>4346</v>
      </c>
      <c r="F25" s="218">
        <f>IF(E25+D25=0," ",E25+D25)</f>
        <v>32283</v>
      </c>
      <c r="G25" s="173"/>
      <c r="H25" s="216">
        <f>SUM(H18,H15,H22)</f>
        <v>28182</v>
      </c>
      <c r="I25" s="217">
        <f>SUM(I18,I15,I22)</f>
        <v>4864</v>
      </c>
      <c r="J25" s="218">
        <f>+H25+I25</f>
        <v>33046</v>
      </c>
      <c r="K25" s="168"/>
      <c r="L25" s="176">
        <f>ROUND((D25-H25)/H25,4)</f>
        <v>-8.6999999999999994E-3</v>
      </c>
      <c r="M25" s="219">
        <f>ROUND((E25-I25)/I25,4)</f>
        <v>-0.1065</v>
      </c>
      <c r="N25" s="220">
        <f>IF((F25-J25)/J25=0," ",ROUND((F25-J25)/J25,4))</f>
        <v>-2.3099999999999999E-2</v>
      </c>
      <c r="O25" s="109"/>
      <c r="P25" s="221">
        <v>28521</v>
      </c>
      <c r="Q25" s="222">
        <v>6358</v>
      </c>
      <c r="R25" s="223">
        <f>SUM(P25:Q25)</f>
        <v>34879</v>
      </c>
      <c r="S25" s="224">
        <f t="shared" si="3"/>
        <v>-2.0500000000000001E-2</v>
      </c>
      <c r="T25" s="225">
        <f t="shared" si="3"/>
        <v>-0.3165</v>
      </c>
      <c r="U25" s="226">
        <f t="shared" si="3"/>
        <v>-7.4399999999999994E-2</v>
      </c>
      <c r="V25" s="185"/>
      <c r="W25" s="109"/>
      <c r="X25" s="109"/>
      <c r="Y25" s="109"/>
      <c r="Z25" s="109" t="s">
        <v>19</v>
      </c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</row>
    <row r="26" spans="1:257" x14ac:dyDescent="0.25">
      <c r="A26" s="40" t="s">
        <v>16</v>
      </c>
      <c r="B26" s="41"/>
      <c r="C26" s="41"/>
      <c r="D26" s="151"/>
      <c r="E26" s="152"/>
      <c r="F26" s="153"/>
      <c r="G26" s="131"/>
      <c r="H26" s="151"/>
      <c r="I26" s="152"/>
      <c r="J26" s="153"/>
      <c r="L26" s="154"/>
      <c r="M26" s="155"/>
      <c r="N26" s="156"/>
      <c r="P26" s="157"/>
      <c r="Q26" s="158"/>
      <c r="R26" s="158"/>
      <c r="S26" s="159"/>
      <c r="T26" s="160"/>
      <c r="U26" s="161"/>
      <c r="V26" s="129"/>
    </row>
    <row r="27" spans="1:257" ht="6" customHeight="1" x14ac:dyDescent="0.25">
      <c r="A27" s="48"/>
      <c r="B27" s="49"/>
      <c r="C27" s="49"/>
      <c r="D27" s="50"/>
      <c r="E27" s="51"/>
      <c r="F27" s="52"/>
      <c r="G27" s="131"/>
      <c r="H27" s="50"/>
      <c r="I27" s="51"/>
      <c r="J27" s="52"/>
      <c r="K27" s="51"/>
      <c r="L27" s="54"/>
      <c r="M27" s="55"/>
      <c r="N27" s="56"/>
      <c r="P27" s="162"/>
      <c r="Q27" s="163"/>
      <c r="R27" s="163"/>
      <c r="S27" s="164"/>
      <c r="T27" s="165"/>
      <c r="U27" s="166"/>
      <c r="V27" s="167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  <c r="IW27" s="49"/>
    </row>
    <row r="28" spans="1:257" ht="12.75" customHeight="1" x14ac:dyDescent="0.25">
      <c r="A28" s="48"/>
      <c r="B28" s="131" t="s">
        <v>36</v>
      </c>
      <c r="C28" s="49"/>
      <c r="D28" s="59">
        <v>98357.592301000055</v>
      </c>
      <c r="E28" s="60">
        <v>20735.385286999997</v>
      </c>
      <c r="F28" s="61">
        <f>IF(E28+D28=0," ",E28+D28)</f>
        <v>119092.97758800005</v>
      </c>
      <c r="G28" s="131"/>
      <c r="H28" s="59">
        <v>96553.086391000077</v>
      </c>
      <c r="I28" s="60">
        <v>22198.757046999999</v>
      </c>
      <c r="J28" s="61">
        <f>IF(I28+H28=0," ",I28+H28)</f>
        <v>118751.84343800007</v>
      </c>
      <c r="K28" s="60"/>
      <c r="L28" s="92">
        <f>ROUND((D28-H28)/H28,4)</f>
        <v>1.8700000000000001E-2</v>
      </c>
      <c r="M28" s="93">
        <f>ROUND((E28-I28)/I28,4)</f>
        <v>-6.59E-2</v>
      </c>
      <c r="N28" s="56">
        <f>IF((F28-J28)/J28=0," ",ROUND((F28-J28)/J28,4))</f>
        <v>2.8999999999999998E-3</v>
      </c>
      <c r="P28" s="162">
        <f>ROUND(66455.06-352.16+770.5+4914+43,0)</f>
        <v>71830</v>
      </c>
      <c r="Q28" s="169">
        <f>ROUND(24479.66-183+195+276+3,0)</f>
        <v>24771</v>
      </c>
      <c r="R28" s="91">
        <f>SUM(P28:Q28)</f>
        <v>96601</v>
      </c>
      <c r="S28" s="170">
        <f>ROUND((D28-P28)/P28,4)</f>
        <v>0.36930000000000002</v>
      </c>
      <c r="T28" s="171">
        <f>ROUND((E28-Q28)/Q28,4)</f>
        <v>-0.16289999999999999</v>
      </c>
      <c r="U28" s="166">
        <f>IF((F28-R28)/R28=0," ",ROUND((F28-R28)/R28,4))</f>
        <v>0.23280000000000001</v>
      </c>
      <c r="V28" s="167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</row>
    <row r="29" spans="1:257" s="186" customFormat="1" x14ac:dyDescent="0.25">
      <c r="A29" s="172"/>
      <c r="B29" s="173" t="s">
        <v>15</v>
      </c>
      <c r="C29" s="173"/>
      <c r="D29" s="174">
        <v>12264</v>
      </c>
      <c r="E29" s="168">
        <v>1448</v>
      </c>
      <c r="F29" s="175">
        <f>IF(E29+D29=0," ",E29+D29)</f>
        <v>13712</v>
      </c>
      <c r="G29" s="173"/>
      <c r="H29" s="174">
        <v>12306</v>
      </c>
      <c r="I29" s="168">
        <v>1538</v>
      </c>
      <c r="J29" s="175">
        <f>IF(I29+H29=0," ",I29+H29)</f>
        <v>13844</v>
      </c>
      <c r="K29" s="168"/>
      <c r="L29" s="176">
        <f>ROUND((D29-H29)/H29,4)</f>
        <v>-3.3999999999999998E-3</v>
      </c>
      <c r="M29" s="177">
        <f>ROUND((E29-I29)/I29,4)</f>
        <v>-5.8500000000000003E-2</v>
      </c>
      <c r="N29" s="220">
        <f>IF((F29-J29)/J29=0," ",ROUND((F29-J29)/J29,4))</f>
        <v>-9.4999999999999998E-3</v>
      </c>
      <c r="O29" s="109"/>
      <c r="P29" s="179"/>
      <c r="Q29" s="180"/>
      <c r="R29" s="181"/>
      <c r="S29" s="182"/>
      <c r="T29" s="183"/>
      <c r="U29" s="184"/>
      <c r="V29" s="185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257" ht="6" customHeight="1" x14ac:dyDescent="0.25">
      <c r="A30" s="57"/>
      <c r="B30" s="227"/>
      <c r="D30" s="59"/>
      <c r="E30" s="131"/>
      <c r="F30" s="61"/>
      <c r="G30" s="131"/>
      <c r="H30" s="59"/>
      <c r="I30" s="131"/>
      <c r="J30" s="61"/>
      <c r="K30" s="60"/>
      <c r="L30" s="92"/>
      <c r="M30" s="228"/>
      <c r="N30" s="94"/>
      <c r="P30" s="66"/>
      <c r="Q30" s="129"/>
      <c r="R30" s="68">
        <f>SUM(P30:Q30)</f>
        <v>0</v>
      </c>
      <c r="S30" s="170"/>
      <c r="T30" s="190"/>
      <c r="U30" s="187"/>
      <c r="V30" s="129"/>
    </row>
    <row r="31" spans="1:257" s="105" customFormat="1" x14ac:dyDescent="0.25">
      <c r="A31" s="188"/>
      <c r="B31" s="189" t="s">
        <v>40</v>
      </c>
      <c r="C31" s="189"/>
      <c r="D31" s="66">
        <v>13469.039996000003</v>
      </c>
      <c r="E31" s="67">
        <v>3843.5000000000005</v>
      </c>
      <c r="F31" s="68">
        <f>IF(E31+D31=0," ",E31+D31)</f>
        <v>17312.539996000003</v>
      </c>
      <c r="G31" s="129"/>
      <c r="H31" s="66">
        <v>13030.516465000004</v>
      </c>
      <c r="I31" s="67">
        <v>4143.5294109999995</v>
      </c>
      <c r="J31" s="68">
        <f>IF(I31+H31=0," ",I31+H31)</f>
        <v>17174.045876000004</v>
      </c>
      <c r="K31" s="67"/>
      <c r="L31" s="170">
        <f>ROUND((D31-H31)/(H31),4)</f>
        <v>3.3700000000000001E-2</v>
      </c>
      <c r="M31" s="190">
        <f>ROUND((E31-I31)/(I31),4)</f>
        <v>-7.2400000000000006E-2</v>
      </c>
      <c r="N31" s="187">
        <f>ROUND((F31-J31)/(J31),4)</f>
        <v>8.0999999999999996E-3</v>
      </c>
      <c r="P31" s="66">
        <f>ROUND(266258.77+3453.5+88218+612,0)/17.5-P30</f>
        <v>20488.114285714284</v>
      </c>
      <c r="Q31" s="67">
        <f>ROUND(2736+18+363761.4+5106.8,0)/17.5-Q30</f>
        <v>21235.542857142857</v>
      </c>
      <c r="R31" s="68">
        <f>SUM(P31:Q31)</f>
        <v>41723.657142857141</v>
      </c>
      <c r="S31" s="170">
        <f>ROUND((D31-P31)/P31,4)</f>
        <v>-0.34260000000000002</v>
      </c>
      <c r="T31" s="171">
        <f>ROUND((E31-Q31)/Q31,4)</f>
        <v>-0.81899999999999995</v>
      </c>
      <c r="U31" s="187">
        <f>IF((F31-R31)/R31=0," ",ROUND((F31-R31)/R31,4))</f>
        <v>-0.58509999999999995</v>
      </c>
      <c r="V31" s="129"/>
    </row>
    <row r="32" spans="1:257" s="199" customFormat="1" x14ac:dyDescent="0.25">
      <c r="A32" s="191"/>
      <c r="B32" s="192" t="s">
        <v>15</v>
      </c>
      <c r="C32" s="192"/>
      <c r="D32" s="193">
        <v>573</v>
      </c>
      <c r="E32" s="194">
        <v>223</v>
      </c>
      <c r="F32" s="195">
        <f>IF(E32+D32=0," ",E32+D32)</f>
        <v>796</v>
      </c>
      <c r="G32" s="192"/>
      <c r="H32" s="193">
        <v>554</v>
      </c>
      <c r="I32" s="194">
        <v>231</v>
      </c>
      <c r="J32" s="195">
        <f>IF(I32+H32=0," ",I32+H32)</f>
        <v>785</v>
      </c>
      <c r="K32" s="194"/>
      <c r="L32" s="196">
        <f>ROUND((D32-H32)/(H32),4)</f>
        <v>3.4299999999999997E-2</v>
      </c>
      <c r="M32" s="197">
        <v>1</v>
      </c>
      <c r="N32" s="198">
        <f>ROUND((F32-J32)/(J32),4)</f>
        <v>1.4E-2</v>
      </c>
      <c r="O32" s="109"/>
      <c r="P32" s="179" t="e">
        <f>ROUND(740890.66+2256.48+63037.34+131.32,0)/17.5-#REF!</f>
        <v>#REF!</v>
      </c>
      <c r="Q32" s="180">
        <f>ROUND(17877.14+277,0)/17.5</f>
        <v>1037.3714285714286</v>
      </c>
      <c r="R32" s="181" t="e">
        <f>SUM(P32:Q32)</f>
        <v>#REF!</v>
      </c>
      <c r="S32" s="182"/>
      <c r="T32" s="183"/>
      <c r="U32" s="184"/>
      <c r="V32" s="185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257" s="109" customFormat="1" x14ac:dyDescent="0.25">
      <c r="A33" s="229"/>
      <c r="B33" s="185"/>
      <c r="C33" s="185"/>
      <c r="D33" s="179"/>
      <c r="E33" s="180"/>
      <c r="F33" s="181"/>
      <c r="G33" s="185"/>
      <c r="H33" s="179"/>
      <c r="I33" s="180"/>
      <c r="J33" s="181"/>
      <c r="K33" s="180"/>
      <c r="L33" s="182"/>
      <c r="M33" s="183"/>
      <c r="N33" s="184"/>
      <c r="P33" s="179"/>
      <c r="Q33" s="180"/>
      <c r="R33" s="181"/>
      <c r="S33" s="182"/>
      <c r="T33" s="183"/>
      <c r="U33" s="184"/>
      <c r="V33" s="185"/>
    </row>
    <row r="34" spans="1:257" ht="13.8" thickBot="1" x14ac:dyDescent="0.3">
      <c r="A34" s="57" t="s">
        <v>14</v>
      </c>
      <c r="D34" s="200">
        <f>+D28+D31</f>
        <v>111826.63229700006</v>
      </c>
      <c r="E34" s="201">
        <f>+E28+E31</f>
        <v>24578.885286999997</v>
      </c>
      <c r="F34" s="202">
        <f>+D34+E34</f>
        <v>136405.51758400007</v>
      </c>
      <c r="G34" s="131"/>
      <c r="H34" s="200">
        <f>+H28+H31</f>
        <v>109583.60285600009</v>
      </c>
      <c r="I34" s="201">
        <f>+I28+I31</f>
        <v>26342.286457999999</v>
      </c>
      <c r="J34" s="202">
        <f>+H34+I34</f>
        <v>135925.88931400009</v>
      </c>
      <c r="K34" s="60"/>
      <c r="L34" s="203">
        <f>ROUND((D34-H34)/H34,4)</f>
        <v>2.0500000000000001E-2</v>
      </c>
      <c r="M34" s="204">
        <f>ROUND((E34-I34)/I34,4)</f>
        <v>-6.6900000000000001E-2</v>
      </c>
      <c r="N34" s="205">
        <f>IF((F34-J34)/J34=0," ",ROUND((F34-J34)/J34,4))</f>
        <v>3.5000000000000001E-3</v>
      </c>
      <c r="P34" s="206">
        <f>SUM(P28:P30)</f>
        <v>71830</v>
      </c>
      <c r="Q34" s="207">
        <f>SUM(Q28:Q30)</f>
        <v>24771</v>
      </c>
      <c r="R34" s="208">
        <f>SUM(R28:R30)</f>
        <v>96601</v>
      </c>
      <c r="S34" s="209">
        <f t="shared" ref="S34:U35" si="4">IF((D34-P34)/P34=0," ",ROUND((D34-P34)/P34,4))</f>
        <v>0.55679999999999996</v>
      </c>
      <c r="T34" s="210">
        <f t="shared" si="4"/>
        <v>-7.7999999999999996E-3</v>
      </c>
      <c r="U34" s="211">
        <f t="shared" si="4"/>
        <v>0.41210000000000002</v>
      </c>
      <c r="V34" s="129"/>
    </row>
    <row r="35" spans="1:257" s="186" customFormat="1" ht="14.4" thickTop="1" thickBot="1" x14ac:dyDescent="0.3">
      <c r="A35" s="214" t="s">
        <v>39</v>
      </c>
      <c r="B35" s="215"/>
      <c r="C35" s="215"/>
      <c r="D35" s="216">
        <f>+D29+D32</f>
        <v>12837</v>
      </c>
      <c r="E35" s="217">
        <f>+E29+E32</f>
        <v>1671</v>
      </c>
      <c r="F35" s="218">
        <f>+D35+E35</f>
        <v>14508</v>
      </c>
      <c r="G35" s="173"/>
      <c r="H35" s="216">
        <f>+H29+H32</f>
        <v>12860</v>
      </c>
      <c r="I35" s="217">
        <f>+I29+I32</f>
        <v>1769</v>
      </c>
      <c r="J35" s="218">
        <f>+H35+I35</f>
        <v>14629</v>
      </c>
      <c r="K35" s="168"/>
      <c r="L35" s="176">
        <f>ROUND((D35-H35)/H35,4)</f>
        <v>-1.8E-3</v>
      </c>
      <c r="M35" s="219">
        <f>ROUND((E35-I35)/I35,4)</f>
        <v>-5.5399999999999998E-2</v>
      </c>
      <c r="N35" s="220">
        <f>IF((F35-J35)/J35=0," ",ROUND((F35-J35)/J35,4))</f>
        <v>-8.3000000000000001E-3</v>
      </c>
      <c r="O35" s="109"/>
      <c r="P35" s="221">
        <v>9786</v>
      </c>
      <c r="Q35" s="222">
        <v>2369</v>
      </c>
      <c r="R35" s="223">
        <f>SUM(P35:Q35)</f>
        <v>12155</v>
      </c>
      <c r="S35" s="224">
        <f t="shared" si="4"/>
        <v>0.31180000000000002</v>
      </c>
      <c r="T35" s="225">
        <f t="shared" si="4"/>
        <v>-0.29459999999999997</v>
      </c>
      <c r="U35" s="226">
        <f t="shared" si="4"/>
        <v>0.19359999999999999</v>
      </c>
      <c r="V35" s="185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</row>
    <row r="36" spans="1:257" x14ac:dyDescent="0.25">
      <c r="A36" s="40" t="s">
        <v>17</v>
      </c>
      <c r="B36" s="41"/>
      <c r="C36" s="41"/>
      <c r="D36" s="151"/>
      <c r="E36" s="152"/>
      <c r="F36" s="153"/>
      <c r="G36" s="131"/>
      <c r="H36" s="151"/>
      <c r="I36" s="152"/>
      <c r="J36" s="153"/>
      <c r="L36" s="154"/>
      <c r="M36" s="155"/>
      <c r="N36" s="156"/>
      <c r="P36" s="157"/>
      <c r="Q36" s="158"/>
      <c r="R36" s="158"/>
      <c r="S36" s="159"/>
      <c r="T36" s="160"/>
      <c r="U36" s="161"/>
      <c r="V36" s="129"/>
    </row>
    <row r="37" spans="1:257" ht="6" customHeight="1" x14ac:dyDescent="0.25">
      <c r="A37" s="48"/>
      <c r="B37" s="49"/>
      <c r="C37" s="49"/>
      <c r="D37" s="50"/>
      <c r="E37" s="51"/>
      <c r="F37" s="52"/>
      <c r="G37" s="131"/>
      <c r="H37" s="50"/>
      <c r="I37" s="51"/>
      <c r="J37" s="52"/>
      <c r="K37" s="51"/>
      <c r="L37" s="54"/>
      <c r="M37" s="55"/>
      <c r="N37" s="56"/>
      <c r="P37" s="162"/>
      <c r="Q37" s="163"/>
      <c r="R37" s="163"/>
      <c r="S37" s="164"/>
      <c r="T37" s="165"/>
      <c r="U37" s="166"/>
      <c r="V37" s="167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</row>
    <row r="38" spans="1:257" ht="12.75" customHeight="1" x14ac:dyDescent="0.25">
      <c r="A38" s="48"/>
      <c r="B38" s="131" t="s">
        <v>36</v>
      </c>
      <c r="C38" s="49"/>
      <c r="D38" s="59">
        <v>42422.739985999971</v>
      </c>
      <c r="E38" s="60">
        <v>10237.069406000001</v>
      </c>
      <c r="F38" s="61">
        <f>IF(E38+D38=0," ",E38+D38)</f>
        <v>52659.809391999974</v>
      </c>
      <c r="G38" s="131"/>
      <c r="H38" s="59">
        <v>40757.726449999958</v>
      </c>
      <c r="I38" s="60">
        <v>12147.694112000003</v>
      </c>
      <c r="J38" s="61">
        <f>IF(I38+H38=0," ",I38+H38)</f>
        <v>52905.420561999963</v>
      </c>
      <c r="K38" s="60"/>
      <c r="L38" s="92">
        <f>ROUND((D38-H38)/H38,4)</f>
        <v>4.0899999999999999E-2</v>
      </c>
      <c r="M38" s="93">
        <f>ROUND((E38-I38)/I38,4)</f>
        <v>-0.1573</v>
      </c>
      <c r="N38" s="166">
        <f>IF((F38-J38)/J38=0," ",ROUND((F38-J38)/J38,4))</f>
        <v>-4.5999999999999999E-3</v>
      </c>
      <c r="P38" s="162">
        <f>ROUND(32206.76+418.5-128+3574+13,0)</f>
        <v>36084</v>
      </c>
      <c r="Q38" s="169">
        <f>ROUND(19340-34+112+315+4,0)</f>
        <v>19737</v>
      </c>
      <c r="R38" s="91">
        <f>SUM(P38:Q38)</f>
        <v>55821</v>
      </c>
      <c r="S38" s="170">
        <f>ROUND((D38-P38)/P38,4)</f>
        <v>0.1757</v>
      </c>
      <c r="T38" s="171">
        <f>ROUND((E38-Q38)/Q38,4)</f>
        <v>-0.48130000000000001</v>
      </c>
      <c r="U38" s="166">
        <f>IF((F38-R38)/R38=0," ",ROUND((F38-R38)/R38,4))</f>
        <v>-5.6599999999999998E-2</v>
      </c>
      <c r="V38" s="167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</row>
    <row r="39" spans="1:257" s="186" customFormat="1" x14ac:dyDescent="0.25">
      <c r="A39" s="172"/>
      <c r="B39" s="173" t="s">
        <v>15</v>
      </c>
      <c r="C39" s="173"/>
      <c r="D39" s="174">
        <v>4189</v>
      </c>
      <c r="E39" s="168">
        <v>691</v>
      </c>
      <c r="F39" s="175">
        <f>IF(E39+D39=0," ",E39+D39)</f>
        <v>4880</v>
      </c>
      <c r="G39" s="173"/>
      <c r="H39" s="174">
        <v>4168</v>
      </c>
      <c r="I39" s="168">
        <v>805</v>
      </c>
      <c r="J39" s="175">
        <f>IF(I39+H39=0," ",I39+H39)</f>
        <v>4973</v>
      </c>
      <c r="K39" s="168"/>
      <c r="L39" s="176">
        <f>ROUND((D39-H39)/H39,4)</f>
        <v>5.0000000000000001E-3</v>
      </c>
      <c r="M39" s="177">
        <f>ROUND((E39-I39)/I39,4)</f>
        <v>-0.1416</v>
      </c>
      <c r="N39" s="178">
        <f>IF((F39-J39)/J39=0," ",ROUND((F39-J39)/J39,4))</f>
        <v>-1.8700000000000001E-2</v>
      </c>
      <c r="O39" s="109"/>
      <c r="P39" s="179">
        <v>0</v>
      </c>
      <c r="Q39" s="180">
        <v>0</v>
      </c>
      <c r="R39" s="181">
        <f>SUM(P39:Q39)</f>
        <v>0</v>
      </c>
      <c r="S39" s="182"/>
      <c r="T39" s="183"/>
      <c r="U39" s="184"/>
      <c r="V39" s="185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257" ht="6" customHeight="1" x14ac:dyDescent="0.25">
      <c r="A40" s="57"/>
      <c r="B40" s="131"/>
      <c r="D40" s="59"/>
      <c r="E40" s="60"/>
      <c r="F40" s="61"/>
      <c r="G40" s="131"/>
      <c r="H40" s="59"/>
      <c r="I40" s="60"/>
      <c r="J40" s="61"/>
      <c r="K40" s="60"/>
      <c r="L40" s="92"/>
      <c r="N40" s="56"/>
      <c r="P40" s="66">
        <f>ROUND(7226+80+12726+54,0)/17.5-P39</f>
        <v>1147.7714285714285</v>
      </c>
      <c r="Q40" s="67">
        <f>ROUND(14169.8+258.6,0)/17.5-Q39</f>
        <v>824.45714285714291</v>
      </c>
      <c r="R40" s="68">
        <f>SUM(P40:Q40)</f>
        <v>1972.2285714285713</v>
      </c>
      <c r="S40" s="170">
        <f>ROUND((D40-P40)/P40,4)</f>
        <v>-1</v>
      </c>
      <c r="T40" s="171">
        <f>ROUND((E40-Q40)/Q40,4)</f>
        <v>-1</v>
      </c>
      <c r="U40" s="187">
        <f>IF((F40-R40)/R40=0," ",ROUND((F40-R40)/R40,4))</f>
        <v>-1</v>
      </c>
      <c r="V40" s="129"/>
    </row>
    <row r="41" spans="1:257" x14ac:dyDescent="0.25">
      <c r="A41" s="230"/>
      <c r="B41" s="231" t="s">
        <v>41</v>
      </c>
      <c r="C41" s="231"/>
      <c r="D41" s="59">
        <v>11070.514704000001</v>
      </c>
      <c r="E41" s="60">
        <v>3889.0917639999989</v>
      </c>
      <c r="F41" s="61">
        <f>IF(E41+D41=0," ",E41+D41)</f>
        <v>14959.606468</v>
      </c>
      <c r="G41" s="131"/>
      <c r="H41" s="59">
        <v>10981.255282764714</v>
      </c>
      <c r="I41" s="60">
        <v>5131.6941159999997</v>
      </c>
      <c r="J41" s="61">
        <f>IF(I41+H41=0," ",I41+H41)</f>
        <v>16112.949398764715</v>
      </c>
      <c r="K41" s="60"/>
      <c r="L41" s="176">
        <f>ROUND((D41-H41)/H41,4)</f>
        <v>8.0999999999999996E-3</v>
      </c>
      <c r="M41" s="177">
        <f>ROUND((E41-I41)/I41,4)</f>
        <v>-0.24210000000000001</v>
      </c>
      <c r="N41" s="232">
        <f>IF((F41-J41)/J41=0," ",ROUND((F41-J41)/J41,4))</f>
        <v>-7.1599999999999997E-2</v>
      </c>
      <c r="P41" s="66">
        <f>ROUND(7226+80+12726+54,0)/17.5-P40</f>
        <v>0</v>
      </c>
      <c r="Q41" s="67">
        <f>ROUND(14169.8+258.6,0)/17.5-Q40</f>
        <v>0</v>
      </c>
      <c r="R41" s="68">
        <f>SUM(P41:Q41)</f>
        <v>0</v>
      </c>
      <c r="S41" s="170" t="e">
        <f>ROUND((D41-P41)/P41,4)</f>
        <v>#DIV/0!</v>
      </c>
      <c r="T41" s="190" t="e">
        <f>ROUND((E41-Q41)/Q41,4)</f>
        <v>#DIV/0!</v>
      </c>
      <c r="U41" s="187" t="e">
        <f>IF((F41-R41)/R41=0," ",ROUND((F41-R41)/R41,4))</f>
        <v>#DIV/0!</v>
      </c>
      <c r="V41" s="129"/>
    </row>
    <row r="42" spans="1:257" s="234" customFormat="1" x14ac:dyDescent="0.25">
      <c r="A42" s="230"/>
      <c r="B42" s="233" t="s">
        <v>15</v>
      </c>
      <c r="D42" s="235">
        <v>766</v>
      </c>
      <c r="E42" s="236">
        <v>253</v>
      </c>
      <c r="F42" s="237">
        <f>IF(E42+D42=0," ",E42+D42)</f>
        <v>1019</v>
      </c>
      <c r="G42" s="233"/>
      <c r="H42" s="235">
        <v>796</v>
      </c>
      <c r="I42" s="236">
        <v>306</v>
      </c>
      <c r="J42" s="237">
        <f>IF(I42+H42=0," ",I42+H42)</f>
        <v>1102</v>
      </c>
      <c r="K42" s="236"/>
      <c r="L42" s="238">
        <f>ROUND((D42-H42)/H42,4)</f>
        <v>-3.7699999999999997E-2</v>
      </c>
      <c r="M42" s="239">
        <f>ROUND((E42-I42)/I42,4)</f>
        <v>-0.17319999999999999</v>
      </c>
      <c r="N42" s="240">
        <f>IF((F42-J42)/J42=0," ",ROUND((F42-J42)/J42,4))</f>
        <v>-7.5300000000000006E-2</v>
      </c>
      <c r="O42" s="105"/>
      <c r="P42" s="66"/>
      <c r="Q42" s="67"/>
      <c r="R42" s="68"/>
      <c r="S42" s="170"/>
      <c r="T42" s="190"/>
      <c r="U42" s="187"/>
      <c r="V42" s="129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</row>
    <row r="43" spans="1:257" ht="6" customHeight="1" x14ac:dyDescent="0.25">
      <c r="A43" s="57"/>
      <c r="B43" s="131"/>
      <c r="D43" s="174"/>
      <c r="E43" s="168"/>
      <c r="F43" s="175"/>
      <c r="G43" s="173"/>
      <c r="H43" s="174"/>
      <c r="I43" s="168"/>
      <c r="J43" s="175"/>
      <c r="K43" s="168"/>
      <c r="L43" s="176"/>
      <c r="M43" s="177"/>
      <c r="N43" s="220"/>
      <c r="P43" s="66"/>
      <c r="Q43" s="67"/>
      <c r="R43" s="68"/>
      <c r="S43" s="170"/>
      <c r="T43" s="171"/>
      <c r="U43" s="187"/>
      <c r="V43" s="129"/>
    </row>
    <row r="44" spans="1:257" x14ac:dyDescent="0.25">
      <c r="A44" s="230"/>
      <c r="B44" s="231" t="s">
        <v>42</v>
      </c>
      <c r="C44" s="231"/>
      <c r="D44" s="59">
        <v>11925.501756999998</v>
      </c>
      <c r="E44" s="60">
        <v>3591.2999999999997</v>
      </c>
      <c r="F44" s="61">
        <f>IF(E44+D44=0," ",E44+D44)</f>
        <v>15516.801756999997</v>
      </c>
      <c r="G44" s="131"/>
      <c r="H44" s="59">
        <v>11224.931756999998</v>
      </c>
      <c r="I44" s="60">
        <v>3895.2000000000003</v>
      </c>
      <c r="J44" s="61">
        <f>IF(I44+H44=0," ",I44+H44)</f>
        <v>15120.131756999999</v>
      </c>
      <c r="K44" s="60"/>
      <c r="L44" s="92">
        <f>ROUND((D44-H44)/H44,4)</f>
        <v>6.2399999999999997E-2</v>
      </c>
      <c r="M44" s="93">
        <f>ROUND((E44-I44)/I44,4)</f>
        <v>-7.8E-2</v>
      </c>
      <c r="N44" s="94">
        <f>IF((F44-J44)/J44=0," ",ROUND((F44-J44)/J44,4))</f>
        <v>2.6200000000000001E-2</v>
      </c>
      <c r="P44" s="66"/>
      <c r="Q44" s="67"/>
      <c r="R44" s="68"/>
      <c r="S44" s="170"/>
      <c r="T44" s="190"/>
      <c r="U44" s="187"/>
      <c r="V44" s="129"/>
    </row>
    <row r="45" spans="1:257" s="234" customFormat="1" x14ac:dyDescent="0.25">
      <c r="A45" s="230"/>
      <c r="B45" s="233" t="s">
        <v>15</v>
      </c>
      <c r="D45" s="235">
        <v>2177</v>
      </c>
      <c r="E45" s="236">
        <v>547</v>
      </c>
      <c r="F45" s="237">
        <f>IF(E45+D45=0," ",E45+D45)</f>
        <v>2724</v>
      </c>
      <c r="G45" s="233"/>
      <c r="H45" s="235">
        <v>2009</v>
      </c>
      <c r="I45" s="236">
        <v>575</v>
      </c>
      <c r="J45" s="237">
        <f>IF(I45+H45=0," ",I45+H45)</f>
        <v>2584</v>
      </c>
      <c r="K45" s="236"/>
      <c r="L45" s="238">
        <f>ROUND((D45-H45)/H45,4)</f>
        <v>8.3599999999999994E-2</v>
      </c>
      <c r="M45" s="239">
        <f>ROUND((E45-I45)/I45,4)</f>
        <v>-4.87E-2</v>
      </c>
      <c r="N45" s="240">
        <f>IF((F45-J45)/J45=0," ",ROUND((F45-J45)/J45,4))</f>
        <v>5.4199999999999998E-2</v>
      </c>
      <c r="O45" s="105"/>
      <c r="P45" s="66">
        <f>ROUND(6750+89+376,0)/17.5</f>
        <v>412.28571428571428</v>
      </c>
      <c r="Q45" s="67">
        <f>ROUND(2616,0)/17.5</f>
        <v>149.48571428571429</v>
      </c>
      <c r="R45" s="68">
        <f>SUM(P45:Q45)</f>
        <v>561.7714285714286</v>
      </c>
      <c r="S45" s="241">
        <f>ROUND((D45-P45)/P45,4)</f>
        <v>4.2803000000000004</v>
      </c>
      <c r="T45" s="242">
        <f>ROUND((E45-Q45)/Q45,4)</f>
        <v>2.6591999999999998</v>
      </c>
      <c r="U45" s="243">
        <f>IF((F45-R45)/R45=0," ",ROUND((F45-R45)/R45,4))</f>
        <v>3.8489</v>
      </c>
      <c r="V45" s="129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</row>
    <row r="46" spans="1:257" ht="6" customHeight="1" x14ac:dyDescent="0.25">
      <c r="A46" s="57"/>
      <c r="B46" s="131"/>
      <c r="D46" s="59"/>
      <c r="E46" s="60"/>
      <c r="F46" s="61"/>
      <c r="G46" s="131"/>
      <c r="H46" s="59"/>
      <c r="I46" s="60"/>
      <c r="J46" s="61"/>
      <c r="K46" s="60"/>
      <c r="L46" s="92"/>
      <c r="N46" s="56"/>
      <c r="P46" s="66"/>
      <c r="Q46" s="67"/>
      <c r="R46" s="68">
        <f>SUM(P46:Q46)</f>
        <v>0</v>
      </c>
      <c r="S46" s="170"/>
      <c r="T46" s="171"/>
      <c r="U46" s="187"/>
      <c r="V46" s="129"/>
    </row>
    <row r="47" spans="1:257" ht="13.8" thickBot="1" x14ac:dyDescent="0.3">
      <c r="A47" s="57" t="s">
        <v>14</v>
      </c>
      <c r="D47" s="200">
        <f>+D38+D41+D44</f>
        <v>65418.756446999971</v>
      </c>
      <c r="E47" s="201">
        <f>+E38+E41+E44</f>
        <v>17717.461169999999</v>
      </c>
      <c r="F47" s="202">
        <f>+D47+E47</f>
        <v>83136.217616999973</v>
      </c>
      <c r="G47" s="131"/>
      <c r="H47" s="200">
        <f>+H38+H41+H44</f>
        <v>62963.913489764673</v>
      </c>
      <c r="I47" s="201">
        <f>+I38+I41+I44</f>
        <v>21174.588228000004</v>
      </c>
      <c r="J47" s="202">
        <f>+H47+I47</f>
        <v>84138.501717764681</v>
      </c>
      <c r="K47" s="60"/>
      <c r="L47" s="203">
        <f>ROUND((D47-H47)/H47,4)</f>
        <v>3.9E-2</v>
      </c>
      <c r="M47" s="204">
        <f>ROUND((E47-I47)/I47,4)</f>
        <v>-0.1633</v>
      </c>
      <c r="N47" s="205">
        <f>IF((F47-J47)/J47=0," ",ROUND((F47-J47)/J47,4))</f>
        <v>-1.1900000000000001E-2</v>
      </c>
      <c r="P47" s="206">
        <f>SUM(P38:P46)</f>
        <v>37644.057142857149</v>
      </c>
      <c r="Q47" s="207">
        <f>SUM(Q38:Q46)</f>
        <v>20710.942857142858</v>
      </c>
      <c r="R47" s="208">
        <f>SUM(R38:R46)</f>
        <v>58355</v>
      </c>
      <c r="S47" s="209">
        <f t="shared" ref="S47:U48" si="5">IF((D47-P47)/P47=0," ",ROUND((D47-P47)/P47,4))</f>
        <v>0.73780000000000001</v>
      </c>
      <c r="T47" s="210">
        <f t="shared" si="5"/>
        <v>-0.14449999999999999</v>
      </c>
      <c r="U47" s="211">
        <f t="shared" si="5"/>
        <v>0.42470000000000002</v>
      </c>
      <c r="V47" s="129"/>
    </row>
    <row r="48" spans="1:257" s="186" customFormat="1" ht="14.4" thickTop="1" thickBot="1" x14ac:dyDescent="0.3">
      <c r="A48" s="214" t="s">
        <v>39</v>
      </c>
      <c r="B48" s="215"/>
      <c r="C48" s="215"/>
      <c r="D48" s="216">
        <f>+D39+D42+D45</f>
        <v>7132</v>
      </c>
      <c r="E48" s="217">
        <f>+E39+E42+E45</f>
        <v>1491</v>
      </c>
      <c r="F48" s="218">
        <f>+D48+E48</f>
        <v>8623</v>
      </c>
      <c r="G48" s="173"/>
      <c r="H48" s="216">
        <f>+H39+H42+H45</f>
        <v>6973</v>
      </c>
      <c r="I48" s="217">
        <f>+I39+I42+I45</f>
        <v>1686</v>
      </c>
      <c r="J48" s="218">
        <f>+H48+I48</f>
        <v>8659</v>
      </c>
      <c r="K48" s="168"/>
      <c r="L48" s="176">
        <f>ROUND((D48-H48)/H48,4)</f>
        <v>2.2800000000000001E-2</v>
      </c>
      <c r="M48" s="219">
        <f>ROUND((E48-I48)/I48,4)</f>
        <v>-0.1157</v>
      </c>
      <c r="N48" s="220">
        <f>IF((F48-J48)/J48=0," ",ROUND((F48-J48)/J48,4))</f>
        <v>-4.1999999999999997E-3</v>
      </c>
      <c r="O48" s="109"/>
      <c r="P48" s="221">
        <v>4737</v>
      </c>
      <c r="Q48" s="222">
        <v>2127</v>
      </c>
      <c r="R48" s="223">
        <f>SUM(P48:Q48)</f>
        <v>6864</v>
      </c>
      <c r="S48" s="224">
        <f t="shared" si="5"/>
        <v>0.50560000000000005</v>
      </c>
      <c r="T48" s="225">
        <f t="shared" si="5"/>
        <v>-0.29899999999999999</v>
      </c>
      <c r="U48" s="226">
        <f t="shared" si="5"/>
        <v>0.25629999999999997</v>
      </c>
      <c r="V48" s="185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</row>
    <row r="49" spans="1:257" x14ac:dyDescent="0.25">
      <c r="A49" s="40" t="s">
        <v>18</v>
      </c>
      <c r="B49" s="41"/>
      <c r="C49" s="41"/>
      <c r="D49" s="151"/>
      <c r="E49" s="152"/>
      <c r="F49" s="153"/>
      <c r="G49" s="131"/>
      <c r="H49" s="151"/>
      <c r="I49" s="152"/>
      <c r="J49" s="153"/>
      <c r="L49" s="154"/>
      <c r="M49" s="155"/>
      <c r="N49" s="156"/>
      <c r="P49" s="157"/>
      <c r="Q49" s="158"/>
      <c r="R49" s="158"/>
      <c r="S49" s="159"/>
      <c r="T49" s="160"/>
      <c r="U49" s="161"/>
      <c r="V49" s="129"/>
    </row>
    <row r="50" spans="1:257" ht="6" customHeight="1" x14ac:dyDescent="0.25">
      <c r="A50" s="48"/>
      <c r="B50" s="49"/>
      <c r="C50" s="49"/>
      <c r="D50" s="50"/>
      <c r="E50" s="51"/>
      <c r="F50" s="52"/>
      <c r="G50" s="131"/>
      <c r="H50" s="50"/>
      <c r="I50" s="51"/>
      <c r="J50" s="52"/>
      <c r="K50" s="51"/>
      <c r="L50" s="54"/>
      <c r="M50" s="55"/>
      <c r="N50" s="56"/>
      <c r="P50" s="162"/>
      <c r="Q50" s="163"/>
      <c r="R50" s="163"/>
      <c r="S50" s="164"/>
      <c r="T50" s="165"/>
      <c r="U50" s="166"/>
      <c r="V50" s="167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  <c r="IW50" s="49"/>
    </row>
    <row r="51" spans="1:257" ht="12.75" customHeight="1" x14ac:dyDescent="0.25">
      <c r="A51" s="48"/>
      <c r="B51" s="131" t="s">
        <v>36</v>
      </c>
      <c r="C51" s="49"/>
      <c r="D51" s="59">
        <v>147319.65107499994</v>
      </c>
      <c r="E51" s="60">
        <v>31281.375267000007</v>
      </c>
      <c r="F51" s="61">
        <f>IF(E51+D51=0," ",E51+D51)</f>
        <v>178601.02634199994</v>
      </c>
      <c r="G51" s="131"/>
      <c r="H51" s="59">
        <v>151681.27159894112</v>
      </c>
      <c r="I51" s="60">
        <v>33788.127024999987</v>
      </c>
      <c r="J51" s="61">
        <f>IF(I51+H51=0," ",I51+H51)</f>
        <v>185469.39862394112</v>
      </c>
      <c r="K51" s="60"/>
      <c r="L51" s="92">
        <f>ROUND((D51-H51)/H51,4)</f>
        <v>-2.8799999999999999E-2</v>
      </c>
      <c r="M51" s="93">
        <f>ROUND((E51-I51)/I51,4)</f>
        <v>-7.4200000000000002E-2</v>
      </c>
      <c r="N51" s="56">
        <f>IF((F51-J51)/J51=0," ",ROUND((F51-J51)/J51,4))</f>
        <v>-3.6999999999999998E-2</v>
      </c>
      <c r="P51" s="162">
        <f>ROUND(119125.31-3432+2450+5562.5+58,0)</f>
        <v>123764</v>
      </c>
      <c r="Q51" s="169">
        <f>ROUND(34690.5-418.5+541+1109+19,0)</f>
        <v>35941</v>
      </c>
      <c r="R51" s="91">
        <f>SUM(P51:Q51)</f>
        <v>159705</v>
      </c>
      <c r="S51" s="170">
        <f t="shared" ref="S51:T55" si="6">ROUND((D51-P51)/P51,4)</f>
        <v>0.1903</v>
      </c>
      <c r="T51" s="171">
        <f t="shared" si="6"/>
        <v>-0.12959999999999999</v>
      </c>
      <c r="U51" s="166">
        <f>IF((F51-R51)/R51=0," ",ROUND((F51-R51)/R51,4))</f>
        <v>0.1183</v>
      </c>
      <c r="V51" s="167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  <c r="IW51" s="49"/>
    </row>
    <row r="52" spans="1:257" s="186" customFormat="1" x14ac:dyDescent="0.25">
      <c r="A52" s="172"/>
      <c r="B52" s="173" t="s">
        <v>15</v>
      </c>
      <c r="C52" s="173"/>
      <c r="D52" s="174">
        <v>14127</v>
      </c>
      <c r="E52" s="168">
        <v>1755</v>
      </c>
      <c r="F52" s="175">
        <f>IF(E52+D52=0," ",E52+D52)</f>
        <v>15882</v>
      </c>
      <c r="G52" s="173"/>
      <c r="H52" s="174">
        <v>14575</v>
      </c>
      <c r="I52" s="168">
        <v>1980</v>
      </c>
      <c r="J52" s="175">
        <f>IF(I52+H52=0," ",I52+H52)</f>
        <v>16555</v>
      </c>
      <c r="K52" s="168"/>
      <c r="L52" s="176">
        <f>ROUND((D52-H52)/H52,4)</f>
        <v>-3.0700000000000002E-2</v>
      </c>
      <c r="M52" s="177">
        <f>ROUND((E52-I52)/I52,4)</f>
        <v>-0.11360000000000001</v>
      </c>
      <c r="N52" s="178">
        <f>IF((F52-J52)/J52=0," ",ROUND((F52-J52)/J52,4))</f>
        <v>-4.07E-2</v>
      </c>
      <c r="O52" s="109"/>
      <c r="P52" s="179">
        <v>8170.5</v>
      </c>
      <c r="Q52" s="180">
        <v>4056.14</v>
      </c>
      <c r="R52" s="181">
        <f>SUM(P52:Q52)</f>
        <v>12226.64</v>
      </c>
      <c r="S52" s="182">
        <f t="shared" si="6"/>
        <v>0.72899999999999998</v>
      </c>
      <c r="T52" s="183">
        <f t="shared" si="6"/>
        <v>-0.56730000000000003</v>
      </c>
      <c r="U52" s="184">
        <f>IF((F52-R52)/R52=0," ",ROUND((F52-R52)/R52,4))</f>
        <v>0.29899999999999999</v>
      </c>
      <c r="V52" s="185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</row>
    <row r="53" spans="1:257" ht="6" customHeight="1" x14ac:dyDescent="0.25">
      <c r="A53" s="57"/>
      <c r="B53" s="131"/>
      <c r="D53" s="66"/>
      <c r="E53" s="67"/>
      <c r="F53" s="68" t="str">
        <f>IF(E53+D53=0," ",E53+D53)</f>
        <v xml:space="preserve"> </v>
      </c>
      <c r="G53" s="129"/>
      <c r="H53" s="66"/>
      <c r="I53" s="67"/>
      <c r="J53" s="61" t="str">
        <f>IF(I53+H53=0," ",I53+H53)</f>
        <v xml:space="preserve"> </v>
      </c>
      <c r="K53" s="60"/>
      <c r="L53" s="92"/>
      <c r="N53" s="166"/>
      <c r="P53" s="66">
        <f>ROUND(306250+6532.4+40392+1170,0)/17.5-P52</f>
        <v>12077.728571428572</v>
      </c>
      <c r="Q53" s="67">
        <f>ROUND(196265.6+4629.7,0)/17.5-Q52</f>
        <v>7423.5742857142868</v>
      </c>
      <c r="R53" s="68">
        <f>SUM(P53:Q53)</f>
        <v>19501.302857142859</v>
      </c>
      <c r="S53" s="170">
        <f t="shared" si="6"/>
        <v>-1</v>
      </c>
      <c r="T53" s="171">
        <f t="shared" si="6"/>
        <v>-1</v>
      </c>
      <c r="U53" s="187" t="e">
        <f>IF((F53-R53)/R53=0," ",ROUND((F53-R53)/R53,4))</f>
        <v>#VALUE!</v>
      </c>
      <c r="V53" s="129"/>
    </row>
    <row r="54" spans="1:257" ht="12.75" customHeight="1" x14ac:dyDescent="0.25">
      <c r="A54" s="244"/>
      <c r="B54" s="245" t="s">
        <v>43</v>
      </c>
      <c r="C54" s="231"/>
      <c r="D54" s="66">
        <v>12513.858820000003</v>
      </c>
      <c r="E54" s="67">
        <v>1265.2000000000003</v>
      </c>
      <c r="F54" s="68">
        <f>IF(E54+D54=0," ",E54+D54)</f>
        <v>13779.058820000004</v>
      </c>
      <c r="G54" s="129"/>
      <c r="H54" s="66">
        <v>13250.962305000005</v>
      </c>
      <c r="I54" s="67">
        <v>1935.3</v>
      </c>
      <c r="J54" s="68">
        <f>IF(I54+H54=0," ",I54+H54)</f>
        <v>15186.262305000004</v>
      </c>
      <c r="K54" s="67"/>
      <c r="L54" s="92">
        <f>ROUND((D54-H54)/H54,4)</f>
        <v>-5.5599999999999997E-2</v>
      </c>
      <c r="M54" s="93">
        <f>ROUND((E54-I54)/I54,4)</f>
        <v>-0.3463</v>
      </c>
      <c r="N54" s="94">
        <f>IF((F54-J54)/J54=0," ",ROUND((F54-J54)/J54,4))</f>
        <v>-9.2700000000000005E-2</v>
      </c>
      <c r="P54" s="162">
        <f>ROUND(306250+6532.4+40392+1170,0)/17.5-P53</f>
        <v>8170.5</v>
      </c>
      <c r="Q54" s="169">
        <f>ROUND(196265.6+4629.7,0)/17.5-Q53</f>
        <v>4056.1399999999994</v>
      </c>
      <c r="R54" s="91">
        <f>SUM(P54:Q54)</f>
        <v>12226.64</v>
      </c>
      <c r="S54" s="170">
        <f t="shared" si="6"/>
        <v>0.53159999999999996</v>
      </c>
      <c r="T54" s="171">
        <f t="shared" si="6"/>
        <v>-0.68810000000000004</v>
      </c>
      <c r="U54" s="166">
        <f>IF((F54-R54)/R54=0," ",ROUND((F54-R54)/R54,4))</f>
        <v>0.127</v>
      </c>
      <c r="V54" s="167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  <c r="IW54" s="49"/>
    </row>
    <row r="55" spans="1:257" s="234" customFormat="1" x14ac:dyDescent="0.25">
      <c r="A55" s="230"/>
      <c r="B55" s="233" t="s">
        <v>15</v>
      </c>
      <c r="D55" s="235">
        <v>3165</v>
      </c>
      <c r="E55" s="236">
        <v>351</v>
      </c>
      <c r="F55" s="237">
        <f>IF(E55+D55=0," ",E55+D55)</f>
        <v>3516</v>
      </c>
      <c r="G55" s="233"/>
      <c r="H55" s="235">
        <v>3182</v>
      </c>
      <c r="I55" s="236">
        <v>437</v>
      </c>
      <c r="J55" s="237">
        <f>IF(I55+H55=0," ",I55+H55)</f>
        <v>3619</v>
      </c>
      <c r="K55" s="236"/>
      <c r="L55" s="238">
        <f>ROUND((D55-H55)/H55,4)</f>
        <v>-5.3E-3</v>
      </c>
      <c r="M55" s="239">
        <f>ROUND((E55-I55)/I55,4)</f>
        <v>-0.1968</v>
      </c>
      <c r="N55" s="240">
        <f>IF((F55-J55)/J55=0," ",ROUND((F55-J55)/J55,4))</f>
        <v>-2.8500000000000001E-2</v>
      </c>
      <c r="O55" s="105"/>
      <c r="P55" s="66">
        <f>ROUND(101027.98+6677.8+40607.76+543.3,0)/17.5</f>
        <v>8506.1142857142859</v>
      </c>
      <c r="Q55" s="67">
        <f>ROUND(5375.7+195.08+1167.2,0)/17.5</f>
        <v>385.02857142857141</v>
      </c>
      <c r="R55" s="68">
        <f>SUM(P55:Q55)</f>
        <v>8891.1428571428569</v>
      </c>
      <c r="S55" s="170">
        <f t="shared" si="6"/>
        <v>-0.62790000000000001</v>
      </c>
      <c r="T55" s="190">
        <f t="shared" si="6"/>
        <v>-8.8400000000000006E-2</v>
      </c>
      <c r="U55" s="187">
        <f>IF((F55-R55)/R55=0," ",ROUND((F55-R55)/R55,4))</f>
        <v>-0.60460000000000003</v>
      </c>
      <c r="V55" s="129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</row>
    <row r="56" spans="1:257" ht="6" customHeight="1" x14ac:dyDescent="0.25">
      <c r="A56" s="57"/>
      <c r="B56" s="131"/>
      <c r="D56" s="59"/>
      <c r="E56" s="60"/>
      <c r="F56" s="61"/>
      <c r="G56" s="131"/>
      <c r="H56" s="59"/>
      <c r="I56" s="60"/>
      <c r="J56" s="61"/>
      <c r="K56" s="60"/>
      <c r="L56" s="92"/>
      <c r="N56" s="56"/>
      <c r="P56" s="66"/>
      <c r="Q56" s="67"/>
      <c r="R56" s="68"/>
      <c r="S56" s="170"/>
      <c r="T56" s="171"/>
      <c r="U56" s="187"/>
      <c r="V56" s="129"/>
    </row>
    <row r="57" spans="1:257" ht="6" customHeight="1" x14ac:dyDescent="0.25">
      <c r="A57" s="57"/>
      <c r="B57" s="131"/>
      <c r="D57" s="59"/>
      <c r="E57" s="60"/>
      <c r="F57" s="61"/>
      <c r="G57" s="131"/>
      <c r="H57" s="59"/>
      <c r="I57" s="60"/>
      <c r="J57" s="61"/>
      <c r="K57" s="60"/>
      <c r="L57" s="92"/>
      <c r="N57" s="56"/>
      <c r="P57" s="66"/>
      <c r="Q57" s="67"/>
      <c r="R57" s="68"/>
      <c r="S57" s="170"/>
      <c r="T57" s="171"/>
      <c r="U57" s="187"/>
      <c r="V57" s="129"/>
    </row>
    <row r="58" spans="1:257" ht="12.75" customHeight="1" x14ac:dyDescent="0.25">
      <c r="A58" s="244"/>
      <c r="B58" s="245" t="s">
        <v>44</v>
      </c>
      <c r="C58" s="231"/>
      <c r="D58" s="59">
        <v>11783.767050999997</v>
      </c>
      <c r="E58" s="60">
        <v>2302.62941</v>
      </c>
      <c r="F58" s="61">
        <f>IF(E58+D58=0," ",E58+D58)</f>
        <v>14086.396460999997</v>
      </c>
      <c r="G58" s="131"/>
      <c r="H58" s="59">
        <v>10511.971756999999</v>
      </c>
      <c r="I58" s="60">
        <v>3639.823527</v>
      </c>
      <c r="J58" s="61">
        <f>IF(I58+H58=0," ",I58+H58)</f>
        <v>14151.795284</v>
      </c>
      <c r="K58" s="60"/>
      <c r="L58" s="92">
        <f>ROUND((D58-H58)/H58,4)</f>
        <v>0.121</v>
      </c>
      <c r="M58" s="93">
        <f>ROUND((E58-I58)/I58,4)</f>
        <v>-0.3674</v>
      </c>
      <c r="N58" s="94">
        <f>IF((F58-J58)/J58=0," ",ROUND((F58-J58)/J58,4))</f>
        <v>-4.5999999999999999E-3</v>
      </c>
      <c r="P58" s="162"/>
      <c r="Q58" s="169"/>
      <c r="R58" s="91"/>
      <c r="S58" s="170"/>
      <c r="T58" s="171"/>
      <c r="U58" s="166"/>
      <c r="V58" s="167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</row>
    <row r="59" spans="1:257" s="234" customFormat="1" x14ac:dyDescent="0.25">
      <c r="A59" s="230"/>
      <c r="B59" s="233" t="s">
        <v>15</v>
      </c>
      <c r="D59" s="235">
        <v>2094</v>
      </c>
      <c r="E59" s="236">
        <v>394</v>
      </c>
      <c r="F59" s="237">
        <f>IF(E59+D59=0," ",E59+D59)</f>
        <v>2488</v>
      </c>
      <c r="G59" s="233"/>
      <c r="H59" s="235">
        <v>1829</v>
      </c>
      <c r="I59" s="236">
        <v>638</v>
      </c>
      <c r="J59" s="237">
        <f>IF(I59+H59=0," ",I59+H59)</f>
        <v>2467</v>
      </c>
      <c r="K59" s="236"/>
      <c r="L59" s="238">
        <f>ROUND((D59-H59)/H59,4)</f>
        <v>0.1449</v>
      </c>
      <c r="M59" s="239">
        <f>ROUND((E59-I59)/I59,4)</f>
        <v>-0.38240000000000002</v>
      </c>
      <c r="N59" s="240">
        <f>IF((F59-J59)/J59=0," ",ROUND((F59-J59)/J59,4))</f>
        <v>8.5000000000000006E-3</v>
      </c>
      <c r="O59" s="105"/>
      <c r="P59" s="66"/>
      <c r="Q59" s="67"/>
      <c r="R59" s="68"/>
      <c r="S59" s="170"/>
      <c r="T59" s="190"/>
      <c r="U59" s="187"/>
      <c r="V59" s="129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</row>
    <row r="60" spans="1:257" ht="6" customHeight="1" x14ac:dyDescent="0.25">
      <c r="A60" s="57"/>
      <c r="B60" s="173"/>
      <c r="D60" s="59"/>
      <c r="E60" s="60"/>
      <c r="F60" s="61"/>
      <c r="G60" s="131"/>
      <c r="H60" s="59"/>
      <c r="I60" s="60"/>
      <c r="J60" s="246"/>
      <c r="K60" s="60"/>
      <c r="L60" s="247"/>
      <c r="M60" s="248"/>
      <c r="N60" s="249"/>
      <c r="P60" s="66"/>
      <c r="Q60" s="67"/>
      <c r="R60" s="68"/>
      <c r="S60" s="170"/>
      <c r="T60" s="190"/>
      <c r="U60" s="187"/>
      <c r="V60" s="129"/>
    </row>
    <row r="61" spans="1:257" ht="13.8" thickBot="1" x14ac:dyDescent="0.3">
      <c r="A61" s="57" t="s">
        <v>14</v>
      </c>
      <c r="D61" s="200">
        <f>+D51+D54+D58</f>
        <v>171617.27694599994</v>
      </c>
      <c r="E61" s="201">
        <f>+E51+E54+E58</f>
        <v>34849.204677000009</v>
      </c>
      <c r="F61" s="202">
        <f>+D61+E61</f>
        <v>206466.48162299994</v>
      </c>
      <c r="G61" s="131"/>
      <c r="H61" s="200">
        <f>+H51+H54+H58</f>
        <v>175444.20566094111</v>
      </c>
      <c r="I61" s="201">
        <f>+I51+I54+I58</f>
        <v>39363.25055199999</v>
      </c>
      <c r="J61" s="202">
        <f>+H61+I61</f>
        <v>214807.45621294109</v>
      </c>
      <c r="K61" s="60"/>
      <c r="L61" s="203">
        <f>ROUND((D61-H61)/H61,4)</f>
        <v>-2.18E-2</v>
      </c>
      <c r="M61" s="204">
        <f>ROUND((E61-I61)/I61,4)</f>
        <v>-0.1147</v>
      </c>
      <c r="N61" s="205">
        <f>IF((F61-J61)/J61=0," ",ROUND((F61-J61)/J61,4))</f>
        <v>-3.8800000000000001E-2</v>
      </c>
      <c r="P61" s="206">
        <f>SUM(P54:P60)</f>
        <v>16676.614285714284</v>
      </c>
      <c r="Q61" s="207">
        <f>SUM(Q54:Q60)</f>
        <v>4441.1685714285704</v>
      </c>
      <c r="R61" s="208">
        <f>SUM(R54:R60)</f>
        <v>21117.782857142854</v>
      </c>
      <c r="S61" s="209">
        <f t="shared" ref="S61:U62" si="7">IF((D61-P61)/P61=0," ",ROUND((D61-P61)/P61,4))</f>
        <v>9.2909000000000006</v>
      </c>
      <c r="T61" s="210">
        <f t="shared" si="7"/>
        <v>6.8468999999999998</v>
      </c>
      <c r="U61" s="211">
        <f t="shared" si="7"/>
        <v>8.7768999999999995</v>
      </c>
      <c r="V61" s="129"/>
    </row>
    <row r="62" spans="1:257" s="186" customFormat="1" ht="14.4" thickTop="1" thickBot="1" x14ac:dyDescent="0.3">
      <c r="A62" s="214" t="s">
        <v>39</v>
      </c>
      <c r="B62" s="215"/>
      <c r="C62" s="215"/>
      <c r="D62" s="216">
        <f>+D52+D55+D59</f>
        <v>19386</v>
      </c>
      <c r="E62" s="217">
        <f>+E52+E55+E59</f>
        <v>2500</v>
      </c>
      <c r="F62" s="218">
        <f>+D62+E62</f>
        <v>21886</v>
      </c>
      <c r="G62" s="173"/>
      <c r="H62" s="216">
        <f>+H52+H55+H59</f>
        <v>19586</v>
      </c>
      <c r="I62" s="217">
        <f>+I52+I55+I59</f>
        <v>3055</v>
      </c>
      <c r="J62" s="218">
        <f>+H62+I62</f>
        <v>22641</v>
      </c>
      <c r="K62" s="168"/>
      <c r="L62" s="176">
        <f>ROUND((D62-H62)/H62,4)</f>
        <v>-1.0200000000000001E-2</v>
      </c>
      <c r="M62" s="219">
        <f>ROUND((E62-I62)/I62,4)</f>
        <v>-0.1817</v>
      </c>
      <c r="N62" s="220">
        <f>IF((F62-J62)/J62=0," ",ROUND((F62-J62)/J62,4))</f>
        <v>-3.3300000000000003E-2</v>
      </c>
      <c r="O62" s="109"/>
      <c r="P62" s="221">
        <v>4737</v>
      </c>
      <c r="Q62" s="222">
        <v>2127</v>
      </c>
      <c r="R62" s="223">
        <f>SUM(P62:Q62)</f>
        <v>6864</v>
      </c>
      <c r="S62" s="224">
        <f t="shared" si="7"/>
        <v>3.0924999999999998</v>
      </c>
      <c r="T62" s="225">
        <f t="shared" si="7"/>
        <v>0.1754</v>
      </c>
      <c r="U62" s="226">
        <f t="shared" si="7"/>
        <v>2.1884999999999999</v>
      </c>
      <c r="V62" s="185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</row>
    <row r="63" spans="1:257" x14ac:dyDescent="0.25">
      <c r="A63" s="40" t="s">
        <v>20</v>
      </c>
      <c r="B63" s="41"/>
      <c r="C63" s="41"/>
      <c r="D63" s="151"/>
      <c r="E63" s="152"/>
      <c r="F63" s="153"/>
      <c r="G63" s="131"/>
      <c r="H63" s="151"/>
      <c r="I63" s="152"/>
      <c r="J63" s="153"/>
      <c r="L63" s="154"/>
      <c r="M63" s="155"/>
      <c r="N63" s="156"/>
      <c r="P63" s="157"/>
      <c r="Q63" s="158"/>
      <c r="R63" s="158"/>
      <c r="S63" s="159"/>
      <c r="T63" s="160"/>
      <c r="U63" s="161"/>
      <c r="V63" s="129"/>
    </row>
    <row r="64" spans="1:257" ht="6" customHeight="1" x14ac:dyDescent="0.25">
      <c r="A64" s="48"/>
      <c r="B64" s="49"/>
      <c r="C64" s="49"/>
      <c r="D64" s="50"/>
      <c r="E64" s="51"/>
      <c r="F64" s="52"/>
      <c r="G64" s="131"/>
      <c r="H64" s="50"/>
      <c r="I64" s="51"/>
      <c r="J64" s="52"/>
      <c r="K64" s="51"/>
      <c r="L64" s="54"/>
      <c r="M64" s="55"/>
      <c r="N64" s="56"/>
      <c r="P64" s="162"/>
      <c r="Q64" s="163"/>
      <c r="R64" s="163"/>
      <c r="S64" s="164"/>
      <c r="T64" s="165"/>
      <c r="U64" s="166"/>
      <c r="V64" s="167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  <c r="IW64" s="49"/>
    </row>
    <row r="65" spans="1:45" ht="12.75" customHeight="1" x14ac:dyDescent="0.25">
      <c r="A65" s="57"/>
      <c r="B65" s="131" t="s">
        <v>45</v>
      </c>
      <c r="D65" s="59">
        <f>+D14+D28+D38+D51</f>
        <v>475701.71377300005</v>
      </c>
      <c r="E65" s="60">
        <f>+E14+E28+E38+E51</f>
        <v>105109.71934099996</v>
      </c>
      <c r="F65" s="61">
        <f>IF(E65+D65=0," ",E65+D65)</f>
        <v>580811.43311400001</v>
      </c>
      <c r="G65" s="131"/>
      <c r="H65" s="59">
        <f>+H14+H28+H38+H51</f>
        <v>480316.35477894131</v>
      </c>
      <c r="I65" s="60">
        <f>+I14+I28+I38+I51</f>
        <v>117149.99578899989</v>
      </c>
      <c r="J65" s="61">
        <f>IF(I65+H65=0," ",I65+H65)</f>
        <v>597466.3505679412</v>
      </c>
      <c r="K65" s="60"/>
      <c r="L65" s="92">
        <f>ROUND((D65-H65)/H65,4)</f>
        <v>-9.5999999999999992E-3</v>
      </c>
      <c r="M65" s="93">
        <f>ROUND((E65-I65)/I65,4)</f>
        <v>-0.1028</v>
      </c>
      <c r="N65" s="166">
        <f>IF((F65-J65)/J65=0," ",ROUND((F65-J65)/J65,4))</f>
        <v>-2.7900000000000001E-2</v>
      </c>
      <c r="P65" s="66">
        <f>+P14+P28+P38+P51</f>
        <v>383579</v>
      </c>
      <c r="Q65" s="67">
        <f>+Q14+Q28+Q38+Q51</f>
        <v>128013</v>
      </c>
      <c r="R65" s="68">
        <f>SUM(P65:Q65)</f>
        <v>511592</v>
      </c>
      <c r="S65" s="170">
        <f>ROUND((D65-P65)/P65,4)</f>
        <v>0.2402</v>
      </c>
      <c r="T65" s="171">
        <f>ROUND((E65-Q65)/Q65,4)</f>
        <v>-0.1789</v>
      </c>
      <c r="U65" s="187">
        <f>IF((F65-R65)/R65=0," ",ROUND((F65-R65)/R65,4))</f>
        <v>0.1353</v>
      </c>
      <c r="V65" s="129"/>
    </row>
    <row r="66" spans="1:45" x14ac:dyDescent="0.25">
      <c r="A66" s="57"/>
      <c r="B66" s="173" t="s">
        <v>15</v>
      </c>
      <c r="D66" s="174">
        <f>+D15+D29+D39+D52</f>
        <v>54971</v>
      </c>
      <c r="E66" s="168">
        <f>+E15+E29+E39+E52</f>
        <v>6582</v>
      </c>
      <c r="F66" s="175">
        <f>IF(E66+D66=0," ",E66+D66)</f>
        <v>61553</v>
      </c>
      <c r="G66" s="173"/>
      <c r="H66" s="174">
        <f>+H15+H29+H39+H52</f>
        <v>55529</v>
      </c>
      <c r="I66" s="168">
        <f>+I15+I29+I39+I52</f>
        <v>7344</v>
      </c>
      <c r="J66" s="175">
        <f>IF(I66+H66=0," ",I66+H66)</f>
        <v>62873</v>
      </c>
      <c r="K66" s="168"/>
      <c r="L66" s="176">
        <f>ROUND((D66-H66)/H66,4)</f>
        <v>-0.01</v>
      </c>
      <c r="M66" s="177">
        <f>ROUND((E66-I66)/I66,4)</f>
        <v>-0.1038</v>
      </c>
      <c r="N66" s="220">
        <f>IF((F66-J66)/J66=0," ",ROUND((F66-J66)/J66,4))</f>
        <v>-2.1000000000000001E-2</v>
      </c>
      <c r="P66" s="66">
        <f>+P15+P29+P39+P52</f>
        <v>14283.79</v>
      </c>
      <c r="Q66" s="67">
        <f>+Q15+Q29+Q39+Q52</f>
        <v>13681.849999999999</v>
      </c>
      <c r="R66" s="68">
        <f>SUM(P66:Q66)</f>
        <v>27965.64</v>
      </c>
      <c r="S66" s="170">
        <f>ROUND((D66-P66)/P66,4)</f>
        <v>2.8485</v>
      </c>
      <c r="T66" s="190">
        <f>ROUND((E66-Q66)/Q66,4)</f>
        <v>-0.51890000000000003</v>
      </c>
      <c r="U66" s="187">
        <f>IF((F66-R66)/R66=0," ",ROUND((F66-R66)/R66,4))</f>
        <v>1.2010000000000001</v>
      </c>
      <c r="V66" s="129"/>
    </row>
    <row r="67" spans="1:45" ht="6" customHeight="1" x14ac:dyDescent="0.25">
      <c r="A67" s="57"/>
      <c r="B67" s="131"/>
      <c r="D67" s="59"/>
      <c r="E67" s="60"/>
      <c r="F67" s="61"/>
      <c r="G67" s="131"/>
      <c r="H67" s="59"/>
      <c r="I67" s="60"/>
      <c r="J67" s="61"/>
      <c r="K67" s="60"/>
      <c r="L67" s="92"/>
      <c r="N67" s="56"/>
      <c r="P67" s="66"/>
      <c r="Q67" s="67"/>
      <c r="R67" s="68"/>
      <c r="S67" s="170"/>
      <c r="T67" s="171"/>
      <c r="U67" s="187"/>
      <c r="V67" s="129"/>
    </row>
    <row r="68" spans="1:45" x14ac:dyDescent="0.25">
      <c r="A68" s="230"/>
      <c r="B68" s="231" t="s">
        <v>46</v>
      </c>
      <c r="C68" s="231"/>
      <c r="D68" s="59">
        <f>+D17+D41+D44+D54+D58+D31+D21</f>
        <v>84264.645778999984</v>
      </c>
      <c r="E68" s="60">
        <f>+E17+E41+E44+E54+E58+E31+E21</f>
        <v>24250.396464999998</v>
      </c>
      <c r="F68" s="61">
        <f>IF(E68+D68=0," ",E68+D68)</f>
        <v>108515.04224399998</v>
      </c>
      <c r="G68" s="131"/>
      <c r="H68" s="59">
        <f>+H17+H41+H44+H54+H58+H31+H21</f>
        <v>83301.937481764704</v>
      </c>
      <c r="I68" s="60">
        <f>+I17+I41+I44+I54+I58+I31+I21</f>
        <v>29063.258809999999</v>
      </c>
      <c r="J68" s="61">
        <f>IF(I68+H68=0," ",I68+H68)</f>
        <v>112365.1962917647</v>
      </c>
      <c r="K68" s="60"/>
      <c r="L68" s="92">
        <f>ROUND((D68-H68)/H68,4)</f>
        <v>1.1599999999999999E-2</v>
      </c>
      <c r="M68" s="93">
        <f>ROUND((E68-I68)/I68,4)</f>
        <v>-0.1656</v>
      </c>
      <c r="N68" s="94">
        <f>IF((F68-J68)/J68=0," ",ROUND((F68-J68)/J68,4))</f>
        <v>-3.4299999999999997E-2</v>
      </c>
      <c r="P68" s="66"/>
      <c r="Q68" s="67"/>
      <c r="R68" s="68"/>
      <c r="S68" s="170"/>
      <c r="T68" s="190"/>
      <c r="U68" s="187"/>
      <c r="V68" s="129"/>
    </row>
    <row r="69" spans="1:45" s="234" customFormat="1" x14ac:dyDescent="0.25">
      <c r="A69" s="230"/>
      <c r="B69" s="233" t="s">
        <v>15</v>
      </c>
      <c r="D69" s="235">
        <f>+D18+D42+D45+D55+D59+D32+D22</f>
        <v>12321</v>
      </c>
      <c r="E69" s="236">
        <f>+E18+E42+E45+E55+E59+E32+E22</f>
        <v>3426</v>
      </c>
      <c r="F69" s="237">
        <f>IF(E69+D69=0," ",E69+D69)</f>
        <v>15747</v>
      </c>
      <c r="G69" s="233"/>
      <c r="H69" s="235">
        <f>+H18+H42+H45+H55+H59+H32+H22</f>
        <v>12072</v>
      </c>
      <c r="I69" s="236">
        <f>+I18+I42+I45+I55+I59+I32+I22</f>
        <v>4030</v>
      </c>
      <c r="J69" s="237">
        <f>IF(I69+H69=0," ",I69+H69)</f>
        <v>16102</v>
      </c>
      <c r="K69" s="236"/>
      <c r="L69" s="238">
        <f>ROUND((D69-H69)/H69,4)</f>
        <v>2.06E-2</v>
      </c>
      <c r="M69" s="239">
        <f>ROUND((E69-I69)/I69,4)</f>
        <v>-0.14990000000000001</v>
      </c>
      <c r="N69" s="240">
        <f>IF((F69-J69)/J69=0," ",ROUND((F69-J69)/J69,4))</f>
        <v>-2.1999999999999999E-2</v>
      </c>
      <c r="O69" s="105"/>
      <c r="P69" s="66"/>
      <c r="Q69" s="129"/>
      <c r="R69" s="68"/>
      <c r="S69" s="170"/>
      <c r="T69" s="190"/>
      <c r="U69" s="187"/>
      <c r="V69" s="129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</row>
    <row r="70" spans="1:45" ht="6" customHeight="1" x14ac:dyDescent="0.25">
      <c r="A70" s="57"/>
      <c r="D70" s="59"/>
      <c r="E70" s="60"/>
      <c r="F70" s="61"/>
      <c r="G70" s="131"/>
      <c r="H70" s="59"/>
      <c r="I70" s="60"/>
      <c r="J70" s="61"/>
      <c r="K70" s="60"/>
      <c r="L70" s="92"/>
      <c r="M70" s="228"/>
      <c r="N70" s="94"/>
      <c r="P70" s="66"/>
      <c r="Q70" s="67"/>
      <c r="R70" s="68"/>
      <c r="S70" s="170"/>
      <c r="T70" s="190"/>
      <c r="U70" s="187"/>
      <c r="V70" s="129"/>
    </row>
    <row r="71" spans="1:45" ht="13.8" thickBot="1" x14ac:dyDescent="0.3">
      <c r="A71" s="57" t="s">
        <v>14</v>
      </c>
      <c r="D71" s="200">
        <f>+D65+D68</f>
        <v>559966.35955200007</v>
      </c>
      <c r="E71" s="201">
        <f>+E65+E68</f>
        <v>129360.11580599996</v>
      </c>
      <c r="F71" s="202">
        <f>+D71+E71</f>
        <v>689326.47535800003</v>
      </c>
      <c r="G71" s="131"/>
      <c r="H71" s="200">
        <f>+H65+H68</f>
        <v>563618.29226070596</v>
      </c>
      <c r="I71" s="201">
        <f>+I65+I68</f>
        <v>146213.25459899989</v>
      </c>
      <c r="J71" s="202">
        <f>+H71+I71</f>
        <v>709831.54685970582</v>
      </c>
      <c r="K71" s="60"/>
      <c r="L71" s="203">
        <f>ROUND((D71-H71)/H71,4)</f>
        <v>-6.4999999999999997E-3</v>
      </c>
      <c r="M71" s="204">
        <f>ROUND((E71-I71)/I71,4)</f>
        <v>-0.1153</v>
      </c>
      <c r="N71" s="205">
        <f>IF((F71-J71)/J71=0," ",ROUND((F71-J71)/J71,4))</f>
        <v>-2.8899999999999999E-2</v>
      </c>
      <c r="P71" s="206">
        <f>SUM(P62:P70)</f>
        <v>402599.79</v>
      </c>
      <c r="Q71" s="207">
        <f>SUM(Q62:Q70)</f>
        <v>143821.85</v>
      </c>
      <c r="R71" s="208">
        <f>SUM(R62:R70)</f>
        <v>546421.64</v>
      </c>
      <c r="S71" s="209">
        <f t="shared" ref="S71:U72" si="8">IF((D71-P71)/P71=0," ",ROUND((D71-P71)/P71,4))</f>
        <v>0.39090000000000003</v>
      </c>
      <c r="T71" s="210">
        <f t="shared" si="8"/>
        <v>-0.10059999999999999</v>
      </c>
      <c r="U71" s="211">
        <f t="shared" si="8"/>
        <v>0.26150000000000001</v>
      </c>
      <c r="V71" s="129"/>
    </row>
    <row r="72" spans="1:45" s="186" customFormat="1" ht="14.4" thickTop="1" thickBot="1" x14ac:dyDescent="0.3">
      <c r="A72" s="214" t="s">
        <v>39</v>
      </c>
      <c r="B72" s="215"/>
      <c r="C72" s="215"/>
      <c r="D72" s="216">
        <f>+D66+D69</f>
        <v>67292</v>
      </c>
      <c r="E72" s="217">
        <f>+E66+E69</f>
        <v>10008</v>
      </c>
      <c r="F72" s="218">
        <f>+D72+E72</f>
        <v>77300</v>
      </c>
      <c r="G72" s="173"/>
      <c r="H72" s="216">
        <f>+H66+H69</f>
        <v>67601</v>
      </c>
      <c r="I72" s="217">
        <f>+I66+I69</f>
        <v>11374</v>
      </c>
      <c r="J72" s="218">
        <f>+H72+I72</f>
        <v>78975</v>
      </c>
      <c r="K72" s="168"/>
      <c r="L72" s="250">
        <f>ROUND((D72-H72)/H72,4)</f>
        <v>-4.5999999999999999E-3</v>
      </c>
      <c r="M72" s="251">
        <f>ROUND((E72-I72)/I72,4)</f>
        <v>-0.1201</v>
      </c>
      <c r="N72" s="252">
        <f>IF((F72-J72)/J72=0," ",ROUND((F72-J72)/J72,4))</f>
        <v>-2.12E-2</v>
      </c>
      <c r="O72" s="109"/>
      <c r="P72" s="221">
        <v>4737</v>
      </c>
      <c r="Q72" s="222">
        <v>2127</v>
      </c>
      <c r="R72" s="223">
        <f>SUM(P72:Q72)</f>
        <v>6864</v>
      </c>
      <c r="S72" s="224">
        <f t="shared" si="8"/>
        <v>13.2056</v>
      </c>
      <c r="T72" s="225">
        <f t="shared" si="8"/>
        <v>3.7052</v>
      </c>
      <c r="U72" s="226">
        <f t="shared" si="8"/>
        <v>10.261699999999999</v>
      </c>
      <c r="V72" s="185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</row>
    <row r="73" spans="1:45" s="131" customFormat="1" ht="4.95" customHeight="1" x14ac:dyDescent="0.25">
      <c r="D73" s="60"/>
      <c r="E73" s="60"/>
      <c r="F73" s="60"/>
      <c r="G73" s="60"/>
      <c r="H73" s="60"/>
      <c r="I73" s="60"/>
      <c r="J73" s="228"/>
      <c r="K73" s="228"/>
      <c r="L73" s="228"/>
      <c r="M73" s="228"/>
      <c r="N73" s="228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</row>
    <row r="74" spans="1:45" s="101" customFormat="1" ht="15" customHeight="1" x14ac:dyDescent="0.25">
      <c r="A74" s="98" t="s">
        <v>47</v>
      </c>
      <c r="B74" s="99"/>
      <c r="C74" s="100"/>
      <c r="D74" s="99"/>
      <c r="E74" s="99"/>
      <c r="F74" s="99"/>
      <c r="G74" s="99"/>
      <c r="H74" s="99"/>
      <c r="I74" s="99"/>
      <c r="J74" s="99"/>
      <c r="K74" s="253"/>
      <c r="L74" s="99"/>
      <c r="M74" s="99"/>
      <c r="N74" s="99"/>
      <c r="O74" s="99"/>
      <c r="P74" s="99"/>
      <c r="Q74" s="99"/>
      <c r="R74" s="99"/>
      <c r="S74" s="23"/>
      <c r="T74" s="23"/>
      <c r="U74" s="23"/>
    </row>
    <row r="75" spans="1:45" s="101" customFormat="1" ht="15" customHeight="1" x14ac:dyDescent="0.25">
      <c r="A75" s="98"/>
      <c r="B75" s="99"/>
      <c r="C75" s="100" t="s">
        <v>22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23"/>
      <c r="S75" s="23"/>
      <c r="T75" s="23"/>
    </row>
    <row r="76" spans="1:45" s="101" customFormat="1" ht="15" customHeight="1" x14ac:dyDescent="0.25">
      <c r="A76" s="98"/>
      <c r="B76" s="99"/>
      <c r="C76" s="98" t="s">
        <v>23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23"/>
      <c r="S76" s="23"/>
      <c r="T76" s="23"/>
    </row>
    <row r="77" spans="1:45" s="106" customFormat="1" ht="15" customHeight="1" x14ac:dyDescent="0.25">
      <c r="A77" s="98"/>
      <c r="B77" s="99"/>
      <c r="C77" s="100" t="s">
        <v>24</v>
      </c>
      <c r="D77" s="102"/>
      <c r="E77" s="102"/>
      <c r="F77" s="102"/>
      <c r="G77" s="102"/>
      <c r="H77" s="102"/>
      <c r="I77" s="102"/>
      <c r="J77" s="103"/>
      <c r="K77" s="103"/>
      <c r="L77" s="103"/>
      <c r="M77" s="104"/>
      <c r="N77" s="104"/>
      <c r="O77" s="104"/>
      <c r="P77" s="104"/>
      <c r="Q77" s="104"/>
      <c r="R77" s="105"/>
      <c r="S77" s="105"/>
      <c r="T77" s="105"/>
    </row>
    <row r="78" spans="1:45" s="106" customFormat="1" ht="15" customHeight="1" x14ac:dyDescent="0.25">
      <c r="A78" s="98"/>
      <c r="B78" s="99"/>
      <c r="C78" s="98" t="s">
        <v>25</v>
      </c>
      <c r="D78" s="102"/>
      <c r="E78" s="102"/>
      <c r="F78" s="102"/>
      <c r="G78" s="102"/>
      <c r="H78" s="102"/>
      <c r="I78" s="102"/>
      <c r="J78" s="103"/>
      <c r="K78" s="103"/>
      <c r="L78" s="103"/>
      <c r="M78" s="104"/>
      <c r="N78" s="104"/>
      <c r="O78" s="104"/>
      <c r="P78" s="104"/>
      <c r="Q78" s="104"/>
      <c r="R78" s="105"/>
      <c r="S78" s="105"/>
      <c r="T78" s="105"/>
    </row>
    <row r="79" spans="1:45" s="101" customFormat="1" ht="15" customHeight="1" x14ac:dyDescent="0.25">
      <c r="A79" s="98"/>
      <c r="B79" s="98"/>
      <c r="C79" s="100" t="s">
        <v>26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23"/>
      <c r="S79" s="23"/>
      <c r="T79" s="23"/>
    </row>
    <row r="80" spans="1:45" s="101" customFormat="1" ht="15" customHeight="1" x14ac:dyDescent="0.25">
      <c r="A80" s="98"/>
      <c r="B80" s="98"/>
      <c r="C80" s="98" t="s">
        <v>27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23"/>
      <c r="S80" s="23"/>
      <c r="T80" s="23"/>
    </row>
    <row r="81" spans="3:12" s="6" customFormat="1" x14ac:dyDescent="0.25">
      <c r="C81" s="107" t="s">
        <v>28</v>
      </c>
      <c r="D81" s="81"/>
      <c r="E81" s="81"/>
      <c r="F81" s="81"/>
      <c r="G81" s="81"/>
      <c r="H81" s="81"/>
      <c r="I81" s="81"/>
      <c r="J81" s="108"/>
      <c r="K81" s="108"/>
      <c r="L81" s="108"/>
    </row>
    <row r="84" spans="3:12" x14ac:dyDescent="0.25">
      <c r="C84" s="254" t="s">
        <v>48</v>
      </c>
    </row>
  </sheetData>
  <mergeCells count="7">
    <mergeCell ref="A1:U1"/>
    <mergeCell ref="A3:U3"/>
    <mergeCell ref="A4:U4"/>
    <mergeCell ref="A5:U5"/>
    <mergeCell ref="D10:F10"/>
    <mergeCell ref="H10:J10"/>
    <mergeCell ref="L10:N10"/>
  </mergeCells>
  <printOptions horizontalCentered="1"/>
  <pageMargins left="0.27" right="0.22" top="0.4" bottom="0.2" header="0.2" footer="0.27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DW</vt:lpstr>
      <vt:lpstr>Major Centers</vt:lpstr>
      <vt:lpstr>DW!Print_Area</vt:lpstr>
      <vt:lpstr>'Major Centers'!Print_Area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w0000821</cp:lastModifiedBy>
  <dcterms:created xsi:type="dcterms:W3CDTF">2017-08-18T18:05:44Z</dcterms:created>
  <dcterms:modified xsi:type="dcterms:W3CDTF">2017-08-18T18:11:30Z</dcterms:modified>
</cp:coreProperties>
</file>