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IR\Enrollment Reports\F16\District Enrollment Reports\"/>
    </mc:Choice>
  </mc:AlternateContent>
  <bookViews>
    <workbookView xWindow="480" yWindow="120" windowWidth="27795" windowHeight="12585"/>
  </bookViews>
  <sheets>
    <sheet name="DW" sheetId="1" r:id="rId1"/>
  </sheets>
  <definedNames>
    <definedName name="_xlnm.Print_Area" localSheetId="0">DW!$A$1:$L$67</definedName>
  </definedNames>
  <calcPr calcId="162913"/>
</workbook>
</file>

<file path=xl/calcChain.xml><?xml version="1.0" encoding="utf-8"?>
<calcChain xmlns="http://schemas.openxmlformats.org/spreadsheetml/2006/main">
  <c r="H54" i="1" l="1"/>
  <c r="B54" i="1"/>
  <c r="B53" i="1"/>
  <c r="B52" i="1"/>
  <c r="J48" i="1"/>
  <c r="H48" i="1"/>
  <c r="H58" i="1" s="1"/>
  <c r="G48" i="1"/>
  <c r="E48" i="1"/>
  <c r="E58" i="1" s="1"/>
  <c r="D48" i="1"/>
  <c r="B44" i="1"/>
  <c r="I43" i="1"/>
  <c r="H52" i="1"/>
  <c r="B43" i="1"/>
  <c r="K39" i="1"/>
  <c r="J39" i="1"/>
  <c r="I39" i="1"/>
  <c r="F39" i="1"/>
  <c r="L39" i="1" s="1"/>
  <c r="B35" i="1"/>
  <c r="I34" i="1"/>
  <c r="G52" i="1"/>
  <c r="B34" i="1"/>
  <c r="K30" i="1"/>
  <c r="J30" i="1"/>
  <c r="I30" i="1"/>
  <c r="F30" i="1"/>
  <c r="L30" i="1" s="1"/>
  <c r="B26" i="1"/>
  <c r="I25" i="1"/>
  <c r="B25" i="1"/>
  <c r="I24" i="1"/>
  <c r="K21" i="1"/>
  <c r="I21" i="1"/>
  <c r="G21" i="1"/>
  <c r="G58" i="1" s="1"/>
  <c r="D21" i="1"/>
  <c r="D58" i="1" s="1"/>
  <c r="E17" i="1"/>
  <c r="E54" i="1" s="1"/>
  <c r="I15" i="1"/>
  <c r="I14" i="1"/>
  <c r="H10" i="1"/>
  <c r="G10" i="1"/>
  <c r="E10" i="1"/>
  <c r="D10" i="1"/>
  <c r="E8" i="1"/>
  <c r="H8" i="1" s="1"/>
  <c r="D8" i="1"/>
  <c r="G8" i="1" s="1"/>
  <c r="G5" i="1"/>
  <c r="D9" i="1" s="1"/>
  <c r="G9" i="1" s="1"/>
  <c r="I48" i="1" l="1"/>
  <c r="I52" i="1"/>
  <c r="K15" i="1"/>
  <c r="H53" i="1"/>
  <c r="I16" i="1"/>
  <c r="I19" i="1" s="1"/>
  <c r="E16" i="1"/>
  <c r="E19" i="1" s="1"/>
  <c r="K19" i="1" s="1"/>
  <c r="G54" i="1"/>
  <c r="I54" i="1" s="1"/>
  <c r="I17" i="1"/>
  <c r="D17" i="1"/>
  <c r="J24" i="1"/>
  <c r="H28" i="1"/>
  <c r="I26" i="1"/>
  <c r="E26" i="1"/>
  <c r="E28" i="1" s="1"/>
  <c r="K33" i="1"/>
  <c r="F33" i="1"/>
  <c r="D52" i="1"/>
  <c r="J52" i="1" s="1"/>
  <c r="J43" i="1"/>
  <c r="F43" i="1"/>
  <c r="L43" i="1" s="1"/>
  <c r="K24" i="1"/>
  <c r="F24" i="1"/>
  <c r="J34" i="1"/>
  <c r="F34" i="1"/>
  <c r="L34" i="1" s="1"/>
  <c r="K43" i="1"/>
  <c r="E52" i="1"/>
  <c r="D44" i="1"/>
  <c r="D51" i="1"/>
  <c r="J14" i="1"/>
  <c r="J25" i="1"/>
  <c r="K34" i="1"/>
  <c r="D35" i="1"/>
  <c r="J42" i="1"/>
  <c r="I44" i="1"/>
  <c r="E44" i="1"/>
  <c r="K44" i="1" s="1"/>
  <c r="E51" i="1"/>
  <c r="K14" i="1"/>
  <c r="F14" i="1"/>
  <c r="J15" i="1"/>
  <c r="F15" i="1"/>
  <c r="L15" i="1" s="1"/>
  <c r="G53" i="1"/>
  <c r="D16" i="1"/>
  <c r="K25" i="1"/>
  <c r="F25" i="1"/>
  <c r="L25" i="1" s="1"/>
  <c r="D26" i="1"/>
  <c r="J26" i="1" s="1"/>
  <c r="J33" i="1"/>
  <c r="D37" i="1"/>
  <c r="I35" i="1"/>
  <c r="E35" i="1"/>
  <c r="K35" i="1" s="1"/>
  <c r="K42" i="1"/>
  <c r="E46" i="1"/>
  <c r="F42" i="1"/>
  <c r="G19" i="1"/>
  <c r="G37" i="1"/>
  <c r="J58" i="1"/>
  <c r="G28" i="1"/>
  <c r="H37" i="1"/>
  <c r="G46" i="1"/>
  <c r="K58" i="1"/>
  <c r="F58" i="1"/>
  <c r="I28" i="1"/>
  <c r="H46" i="1"/>
  <c r="I58" i="1"/>
  <c r="I69" i="1" s="1"/>
  <c r="H19" i="1"/>
  <c r="I33" i="1"/>
  <c r="G51" i="1"/>
  <c r="J21" i="1"/>
  <c r="H51" i="1"/>
  <c r="F21" i="1"/>
  <c r="L21" i="1" s="1"/>
  <c r="F48" i="1"/>
  <c r="L48" i="1" s="1"/>
  <c r="I42" i="1"/>
  <c r="K48" i="1"/>
  <c r="I37" i="1" l="1"/>
  <c r="G56" i="1"/>
  <c r="L42" i="1"/>
  <c r="I46" i="1"/>
  <c r="L58" i="1"/>
  <c r="J16" i="1"/>
  <c r="F16" i="1"/>
  <c r="L16" i="1" s="1"/>
  <c r="D53" i="1"/>
  <c r="J53" i="1" s="1"/>
  <c r="L14" i="1"/>
  <c r="J35" i="1"/>
  <c r="F35" i="1"/>
  <c r="L35" i="1" s="1"/>
  <c r="D19" i="1"/>
  <c r="J19" i="1" s="1"/>
  <c r="K28" i="1"/>
  <c r="K26" i="1"/>
  <c r="F26" i="1"/>
  <c r="L26" i="1" s="1"/>
  <c r="K16" i="1"/>
  <c r="E53" i="1"/>
  <c r="E56" i="1" s="1"/>
  <c r="J51" i="1"/>
  <c r="L33" i="1"/>
  <c r="D54" i="1"/>
  <c r="F54" i="1" s="1"/>
  <c r="F17" i="1"/>
  <c r="L17" i="1" s="1"/>
  <c r="J17" i="1"/>
  <c r="I53" i="1"/>
  <c r="J44" i="1"/>
  <c r="F44" i="1"/>
  <c r="L44" i="1" s="1"/>
  <c r="E37" i="1"/>
  <c r="K37" i="1" s="1"/>
  <c r="I51" i="1"/>
  <c r="H56" i="1"/>
  <c r="K46" i="1"/>
  <c r="J37" i="1"/>
  <c r="F51" i="1"/>
  <c r="K51" i="1"/>
  <c r="D46" i="1"/>
  <c r="J46" i="1" s="1"/>
  <c r="K52" i="1"/>
  <c r="F52" i="1"/>
  <c r="L52" i="1" s="1"/>
  <c r="L24" i="1"/>
  <c r="D28" i="1"/>
  <c r="J28" i="1" s="1"/>
  <c r="K56" i="1" l="1"/>
  <c r="I56" i="1"/>
  <c r="F28" i="1"/>
  <c r="L28" i="1" s="1"/>
  <c r="D56" i="1"/>
  <c r="J56" i="1" s="1"/>
  <c r="F19" i="1"/>
  <c r="L19" i="1" s="1"/>
  <c r="F46" i="1"/>
  <c r="L46" i="1" s="1"/>
  <c r="L51" i="1"/>
  <c r="F37" i="1"/>
  <c r="L37" i="1" s="1"/>
  <c r="F53" i="1"/>
  <c r="L53" i="1" s="1"/>
  <c r="K53" i="1"/>
  <c r="F56" i="1" l="1"/>
  <c r="L56" i="1" s="1"/>
</calcChain>
</file>

<file path=xl/sharedStrings.xml><?xml version="1.0" encoding="utf-8"?>
<sst xmlns="http://schemas.openxmlformats.org/spreadsheetml/2006/main" count="50" uniqueCount="31">
  <si>
    <t>LOS RIOS COMMUNITY COLLEGE DISTRICT</t>
  </si>
  <si>
    <t>DAILY ENROLLMENT REPORT</t>
  </si>
  <si>
    <t>Fall 2016</t>
  </si>
  <si>
    <t>1st Week</t>
  </si>
  <si>
    <t>Fall 2015</t>
  </si>
  <si>
    <t>Percent Increase (Decrease)</t>
  </si>
  <si>
    <t>Day</t>
  </si>
  <si>
    <t>Eve</t>
  </si>
  <si>
    <t>Total</t>
  </si>
  <si>
    <t>AMERICAN RIVER COLLEGE</t>
  </si>
  <si>
    <t>Weekly Census</t>
  </si>
  <si>
    <t>Daily</t>
  </si>
  <si>
    <t>Estimated Positive</t>
  </si>
  <si>
    <t>Estimated Special Positive</t>
  </si>
  <si>
    <t>Total WSCH</t>
  </si>
  <si>
    <t>Unduplicated Students</t>
  </si>
  <si>
    <t>COSUMNES RIVER COLLEGE</t>
  </si>
  <si>
    <t xml:space="preserve">FOLSOM LAKE COLLEGE </t>
  </si>
  <si>
    <t xml:space="preserve">  </t>
  </si>
  <si>
    <t>SACRAMENTO CITY COLLEGE</t>
  </si>
  <si>
    <t xml:space="preserve"> </t>
  </si>
  <si>
    <t>DISTRICT TOTAL</t>
  </si>
  <si>
    <t>Notes:</t>
  </si>
  <si>
    <r>
      <t>ARC</t>
    </r>
    <r>
      <rPr>
        <i/>
        <sz val="10"/>
        <rFont val="Arial"/>
        <family val="2"/>
      </rPr>
      <t xml:space="preserve"> Unduplicated Student Headcount has been adjusted for both terms to reflect actual Fall 2015 SRPSTC headcount of </t>
    </r>
  </si>
  <si>
    <t xml:space="preserve">     2,444 for Day.</t>
  </si>
  <si>
    <r>
      <t>ARC</t>
    </r>
    <r>
      <rPr>
        <i/>
        <sz val="10"/>
        <rFont val="Arial"/>
        <family val="2"/>
      </rPr>
      <t xml:space="preserve"> Unduplicated Student Headcount has been increased for both terms to reflect actual Fall 2015 Apprenticeship</t>
    </r>
  </si>
  <si>
    <t xml:space="preserve">     headcount of 1,079 for Day.</t>
  </si>
  <si>
    <r>
      <t>SCC</t>
    </r>
    <r>
      <rPr>
        <i/>
        <sz val="10"/>
        <rFont val="Arial"/>
        <family val="2"/>
      </rPr>
      <t xml:space="preserve"> Unduplicated Student Headcount has been changed for both terms to reflect actual Fall 2015 UCD headcount of 1,358</t>
    </r>
  </si>
  <si>
    <t xml:space="preserve">     for Day and 407 for Evening.</t>
  </si>
  <si>
    <t>Fall 2015 Positive WSCH is not finalized and subject to change; data is as of 7/08/2016 Annual.</t>
  </si>
  <si>
    <t>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</si>
</sst>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dddd"/>
    <numFmt numFmtId="165" formatCode="[$-F800]dddd\,\ mmmm\ dd\,\ yyyy"/>
    <numFmt numFmtId="166" formatCode="[$-409]mmmm\ d\,\ 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sz val="10"/>
      <color theme="0" tint="-0.499984740745262"/>
      <name val="Arial"/>
      <family val="2"/>
    </font>
    <font>
      <sz val="10"/>
      <color theme="0" tint="-0.249977111117893"/>
      <name val="Arial"/>
      <family val="2"/>
    </font>
    <font>
      <sz val="10"/>
      <color theme="1"/>
      <name val="Arial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2" borderId="0"/>
    <xf numFmtId="5" fontId="1" fillId="2" borderId="0"/>
    <xf numFmtId="0" fontId="1" fillId="2" borderId="0"/>
    <xf numFmtId="2" fontId="1" fillId="2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5" fillId="0" borderId="0"/>
    <xf numFmtId="0" fontId="1" fillId="0" borderId="0"/>
    <xf numFmtId="0" fontId="14" fillId="0" borderId="0">
      <alignment vertical="top"/>
    </xf>
    <xf numFmtId="0" fontId="15" fillId="0" borderId="0"/>
    <xf numFmtId="0" fontId="15" fillId="0" borderId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3">
      <alignment horizontal="center"/>
    </xf>
    <xf numFmtId="3" fontId="17" fillId="0" borderId="0" applyFont="0" applyFill="0" applyBorder="0" applyAlignment="0" applyProtection="0"/>
    <xf numFmtId="0" fontId="17" fillId="6" borderId="0" applyNumberFormat="0" applyFont="0" applyBorder="0" applyAlignment="0" applyProtection="0"/>
  </cellStyleXfs>
  <cellXfs count="117">
    <xf numFmtId="0" fontId="0" fillId="0" borderId="0" xfId="0"/>
    <xf numFmtId="0" fontId="2" fillId="2" borderId="0" xfId="1" applyFont="1" applyFill="1"/>
    <xf numFmtId="15" fontId="2" fillId="2" borderId="0" xfId="1" quotePrefix="1" applyNumberFormat="1" applyFont="1" applyFill="1" applyBorder="1" applyAlignment="1">
      <alignment horizontal="center"/>
    </xf>
    <xf numFmtId="15" fontId="3" fillId="2" borderId="0" xfId="1" quotePrefix="1" applyNumberFormat="1" applyFont="1" applyFill="1" applyBorder="1" applyAlignment="1">
      <alignment horizontal="center"/>
    </xf>
    <xf numFmtId="0" fontId="1" fillId="2" borderId="0" xfId="1" applyFill="1"/>
    <xf numFmtId="15" fontId="3" fillId="2" borderId="0" xfId="1" applyNumberFormat="1" applyFont="1" applyFill="1" applyBorder="1" applyAlignment="1"/>
    <xf numFmtId="15" fontId="3" fillId="2" borderId="0" xfId="1" quotePrefix="1" applyNumberFormat="1" applyFont="1" applyFill="1" applyBorder="1" applyAlignment="1"/>
    <xf numFmtId="164" fontId="3" fillId="2" borderId="0" xfId="1" quotePrefix="1" applyNumberFormat="1" applyFont="1" applyFill="1" applyBorder="1" applyAlignment="1"/>
    <xf numFmtId="165" fontId="3" fillId="2" borderId="0" xfId="1" applyNumberFormat="1" applyFont="1" applyFill="1" applyBorder="1" applyAlignment="1"/>
    <xf numFmtId="165" fontId="3" fillId="2" borderId="0" xfId="1" quotePrefix="1" applyNumberFormat="1" applyFont="1" applyFill="1" applyBorder="1" applyAlignment="1"/>
    <xf numFmtId="15" fontId="5" fillId="2" borderId="1" xfId="1" applyNumberFormat="1" applyFont="1" applyFill="1" applyBorder="1" applyAlignment="1"/>
    <xf numFmtId="15" fontId="3" fillId="2" borderId="1" xfId="1" quotePrefix="1" applyNumberFormat="1" applyFont="1" applyFill="1" applyBorder="1" applyAlignment="1">
      <alignment horizontal="center"/>
    </xf>
    <xf numFmtId="15" fontId="6" fillId="0" borderId="0" xfId="1" quotePrefix="1" applyNumberFormat="1" applyFont="1" applyFill="1" applyBorder="1" applyAlignment="1"/>
    <xf numFmtId="15" fontId="6" fillId="2" borderId="0" xfId="1" quotePrefix="1" applyNumberFormat="1" applyFont="1" applyFill="1" applyBorder="1" applyAlignment="1"/>
    <xf numFmtId="0" fontId="1" fillId="0" borderId="0" xfId="1" applyFill="1"/>
    <xf numFmtId="15" fontId="7" fillId="3" borderId="4" xfId="1" applyNumberFormat="1" applyFont="1" applyFill="1" applyBorder="1" applyAlignment="1">
      <alignment horizontal="center"/>
    </xf>
    <xf numFmtId="15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/>
    <xf numFmtId="0" fontId="7" fillId="4" borderId="5" xfId="1" applyFont="1" applyFill="1" applyBorder="1"/>
    <xf numFmtId="0" fontId="7" fillId="4" borderId="6" xfId="1" applyFont="1" applyFill="1" applyBorder="1"/>
    <xf numFmtId="0" fontId="7" fillId="3" borderId="7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7" fillId="4" borderId="0" xfId="1" applyFont="1" applyFill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7" fillId="3" borderId="9" xfId="1" applyFont="1" applyFill="1" applyBorder="1"/>
    <xf numFmtId="0" fontId="7" fillId="3" borderId="10" xfId="1" applyFont="1" applyFill="1" applyBorder="1"/>
    <xf numFmtId="0" fontId="1" fillId="2" borderId="9" xfId="1" applyFill="1" applyBorder="1"/>
    <xf numFmtId="0" fontId="1" fillId="2" borderId="10" xfId="1" applyFill="1" applyBorder="1"/>
    <xf numFmtId="0" fontId="1" fillId="2" borderId="11" xfId="1" applyFill="1" applyBorder="1"/>
    <xf numFmtId="10" fontId="1" fillId="2" borderId="9" xfId="1" applyNumberFormat="1" applyFill="1" applyBorder="1"/>
    <xf numFmtId="10" fontId="1" fillId="2" borderId="10" xfId="1" applyNumberFormat="1" applyFill="1" applyBorder="1"/>
    <xf numFmtId="10" fontId="1" fillId="2" borderId="11" xfId="1" applyNumberFormat="1" applyFill="1" applyBorder="1"/>
    <xf numFmtId="0" fontId="7" fillId="2" borderId="7" xfId="1" applyFont="1" applyFill="1" applyBorder="1"/>
    <xf numFmtId="0" fontId="7" fillId="2" borderId="0" xfId="1" applyFont="1" applyFill="1"/>
    <xf numFmtId="3" fontId="7" fillId="2" borderId="7" xfId="1" applyNumberFormat="1" applyFont="1" applyFill="1" applyBorder="1"/>
    <xf numFmtId="3" fontId="7" fillId="2" borderId="0" xfId="1" applyNumberFormat="1" applyFont="1" applyFill="1" applyBorder="1"/>
    <xf numFmtId="3" fontId="7" fillId="2" borderId="8" xfId="1" applyNumberFormat="1" applyFont="1" applyFill="1" applyBorder="1"/>
    <xf numFmtId="3" fontId="7" fillId="2" borderId="0" xfId="1" applyNumberFormat="1" applyFont="1" applyFill="1"/>
    <xf numFmtId="10" fontId="7" fillId="2" borderId="7" xfId="1" applyNumberFormat="1" applyFont="1" applyFill="1" applyBorder="1"/>
    <xf numFmtId="10" fontId="7" fillId="2" borderId="0" xfId="1" applyNumberFormat="1" applyFont="1" applyFill="1"/>
    <xf numFmtId="10" fontId="7" fillId="2" borderId="8" xfId="1" applyNumberFormat="1" applyFont="1" applyFill="1" applyBorder="1"/>
    <xf numFmtId="0" fontId="1" fillId="2" borderId="7" xfId="1" applyFont="1" applyFill="1" applyBorder="1"/>
    <xf numFmtId="0" fontId="1" fillId="2" borderId="0" xfId="1" applyFont="1" applyFill="1"/>
    <xf numFmtId="3" fontId="1" fillId="2" borderId="7" xfId="1" applyNumberFormat="1" applyFont="1" applyFill="1" applyBorder="1"/>
    <xf numFmtId="3" fontId="1" fillId="2" borderId="0" xfId="1" applyNumberFormat="1" applyFont="1" applyFill="1" applyBorder="1"/>
    <xf numFmtId="3" fontId="1" fillId="2" borderId="8" xfId="1" applyNumberFormat="1" applyFont="1" applyFill="1" applyBorder="1"/>
    <xf numFmtId="3" fontId="1" fillId="2" borderId="0" xfId="1" applyNumberFormat="1" applyFont="1" applyFill="1"/>
    <xf numFmtId="10" fontId="1" fillId="2" borderId="7" xfId="1" applyNumberFormat="1" applyFill="1" applyBorder="1"/>
    <xf numFmtId="10" fontId="1" fillId="2" borderId="0" xfId="1" applyNumberFormat="1" applyFill="1" applyBorder="1"/>
    <xf numFmtId="10" fontId="1" fillId="2" borderId="8" xfId="1" applyNumberFormat="1" applyFill="1" applyBorder="1"/>
    <xf numFmtId="3" fontId="1" fillId="0" borderId="7" xfId="1" applyNumberFormat="1" applyFont="1" applyFill="1" applyBorder="1"/>
    <xf numFmtId="3" fontId="1" fillId="0" borderId="0" xfId="1" applyNumberFormat="1" applyFont="1" applyFill="1" applyBorder="1"/>
    <xf numFmtId="3" fontId="1" fillId="0" borderId="8" xfId="1" applyNumberFormat="1" applyFont="1" applyFill="1" applyBorder="1"/>
    <xf numFmtId="0" fontId="1" fillId="2" borderId="7" xfId="1" applyFill="1" applyBorder="1"/>
    <xf numFmtId="0" fontId="1" fillId="0" borderId="0" xfId="1" applyBorder="1"/>
    <xf numFmtId="3" fontId="1" fillId="2" borderId="7" xfId="1" applyNumberFormat="1" applyFill="1" applyBorder="1"/>
    <xf numFmtId="0" fontId="1" fillId="2" borderId="0" xfId="1" applyFill="1" applyBorder="1"/>
    <xf numFmtId="3" fontId="1" fillId="2" borderId="8" xfId="1" applyNumberFormat="1" applyFill="1" applyBorder="1"/>
    <xf numFmtId="3" fontId="1" fillId="2" borderId="0" xfId="1" applyNumberFormat="1" applyFill="1" applyBorder="1"/>
    <xf numFmtId="3" fontId="1" fillId="2" borderId="12" xfId="1" applyNumberFormat="1" applyFill="1" applyBorder="1"/>
    <xf numFmtId="3" fontId="1" fillId="2" borderId="13" xfId="1" applyNumberFormat="1" applyFill="1" applyBorder="1"/>
    <xf numFmtId="3" fontId="1" fillId="2" borderId="14" xfId="1" applyNumberFormat="1" applyFill="1" applyBorder="1"/>
    <xf numFmtId="10" fontId="1" fillId="2" borderId="12" xfId="1" applyNumberFormat="1" applyFill="1" applyBorder="1"/>
    <xf numFmtId="10" fontId="1" fillId="2" borderId="13" xfId="1" applyNumberFormat="1" applyFill="1" applyBorder="1"/>
    <xf numFmtId="10" fontId="1" fillId="2" borderId="14" xfId="1" applyNumberFormat="1" applyFill="1" applyBorder="1"/>
    <xf numFmtId="3" fontId="1" fillId="2" borderId="0" xfId="1" applyNumberFormat="1" applyFill="1"/>
    <xf numFmtId="0" fontId="1" fillId="2" borderId="15" xfId="1" applyFill="1" applyBorder="1"/>
    <xf numFmtId="0" fontId="1" fillId="2" borderId="3" xfId="1" applyFill="1" applyBorder="1"/>
    <xf numFmtId="3" fontId="1" fillId="2" borderId="15" xfId="1" applyNumberFormat="1" applyFill="1" applyBorder="1"/>
    <xf numFmtId="3" fontId="1" fillId="2" borderId="3" xfId="1" applyNumberFormat="1" applyFill="1" applyBorder="1"/>
    <xf numFmtId="3" fontId="1" fillId="2" borderId="16" xfId="1" applyNumberFormat="1" applyFill="1" applyBorder="1"/>
    <xf numFmtId="10" fontId="1" fillId="2" borderId="15" xfId="1" applyNumberFormat="1" applyFill="1" applyBorder="1"/>
    <xf numFmtId="10" fontId="1" fillId="2" borderId="3" xfId="1" applyNumberFormat="1" applyFill="1" applyBorder="1"/>
    <xf numFmtId="10" fontId="1" fillId="2" borderId="16" xfId="1" applyNumberFormat="1" applyFill="1" applyBorder="1"/>
    <xf numFmtId="3" fontId="1" fillId="0" borderId="3" xfId="1" applyNumberFormat="1" applyFill="1" applyBorder="1"/>
    <xf numFmtId="3" fontId="7" fillId="0" borderId="8" xfId="1" applyNumberFormat="1" applyFont="1" applyFill="1" applyBorder="1"/>
    <xf numFmtId="10" fontId="1" fillId="2" borderId="7" xfId="1" applyNumberFormat="1" applyFont="1" applyFill="1" applyBorder="1"/>
    <xf numFmtId="10" fontId="1" fillId="2" borderId="0" xfId="1" applyNumberFormat="1" applyFont="1" applyFill="1"/>
    <xf numFmtId="10" fontId="1" fillId="2" borderId="8" xfId="1" applyNumberFormat="1" applyFont="1" applyFill="1" applyBorder="1"/>
    <xf numFmtId="0" fontId="8" fillId="2" borderId="0" xfId="1" applyFont="1" applyFill="1" applyBorder="1"/>
    <xf numFmtId="0" fontId="7" fillId="2" borderId="0" xfId="1" applyFont="1" applyFill="1" applyBorder="1"/>
    <xf numFmtId="10" fontId="7" fillId="2" borderId="0" xfId="1" applyNumberFormat="1" applyFont="1" applyFill="1" applyBorder="1"/>
    <xf numFmtId="0" fontId="6" fillId="5" borderId="0" xfId="1" applyFont="1" applyFill="1"/>
    <xf numFmtId="0" fontId="1" fillId="5" borderId="0" xfId="1" applyFill="1"/>
    <xf numFmtId="0" fontId="9" fillId="5" borderId="0" xfId="1" applyFont="1" applyFill="1"/>
    <xf numFmtId="0" fontId="1" fillId="0" borderId="0" xfId="1"/>
    <xf numFmtId="38" fontId="1" fillId="5" borderId="0" xfId="1" applyNumberFormat="1" applyFont="1" applyFill="1"/>
    <xf numFmtId="10" fontId="1" fillId="5" borderId="0" xfId="1" applyNumberFormat="1" applyFont="1" applyFill="1"/>
    <xf numFmtId="0" fontId="1" fillId="5" borderId="0" xfId="1" applyFont="1" applyFill="1"/>
    <xf numFmtId="0" fontId="1" fillId="0" borderId="0" xfId="1" applyFont="1" applyFill="1"/>
    <xf numFmtId="0" fontId="1" fillId="0" borderId="0" xfId="1" applyFont="1"/>
    <xf numFmtId="0" fontId="6" fillId="5" borderId="0" xfId="1" applyFont="1" applyFill="1" applyBorder="1"/>
    <xf numFmtId="10" fontId="1" fillId="2" borderId="0" xfId="1" applyNumberFormat="1" applyFill="1"/>
    <xf numFmtId="3" fontId="10" fillId="2" borderId="0" xfId="1" applyNumberFormat="1" applyFont="1" applyFill="1"/>
    <xf numFmtId="3" fontId="10" fillId="0" borderId="0" xfId="1" applyNumberFormat="1" applyFont="1" applyFill="1" applyAlignment="1">
      <alignment horizontal="right"/>
    </xf>
    <xf numFmtId="3" fontId="10" fillId="0" borderId="0" xfId="1" applyNumberFormat="1" applyFont="1" applyFill="1"/>
    <xf numFmtId="10" fontId="11" fillId="2" borderId="0" xfId="1" applyNumberFormat="1" applyFont="1" applyFill="1"/>
    <xf numFmtId="0" fontId="10" fillId="2" borderId="0" xfId="1" applyFont="1" applyFill="1"/>
    <xf numFmtId="0" fontId="10" fillId="2" borderId="0" xfId="1" applyFont="1" applyFill="1" applyAlignment="1">
      <alignment horizontal="right"/>
    </xf>
    <xf numFmtId="0" fontId="12" fillId="2" borderId="0" xfId="1" applyFont="1" applyFill="1"/>
    <xf numFmtId="164" fontId="6" fillId="0" borderId="2" xfId="1" quotePrefix="1" applyNumberFormat="1" applyFont="1" applyFill="1" applyBorder="1" applyAlignment="1">
      <alignment horizontal="left"/>
    </xf>
    <xf numFmtId="14" fontId="1" fillId="0" borderId="3" xfId="2" applyNumberFormat="1" applyFont="1" applyFill="1" applyBorder="1" applyAlignment="1">
      <alignment horizontal="left"/>
    </xf>
    <xf numFmtId="14" fontId="1" fillId="0" borderId="3" xfId="1" applyNumberFormat="1" applyFill="1" applyBorder="1" applyAlignment="1">
      <alignment horizontal="left"/>
    </xf>
    <xf numFmtId="15" fontId="7" fillId="3" borderId="5" xfId="1" applyNumberFormat="1" applyFont="1" applyFill="1" applyBorder="1" applyAlignment="1">
      <alignment horizontal="left"/>
    </xf>
    <xf numFmtId="0" fontId="7" fillId="3" borderId="6" xfId="1" applyFont="1" applyFill="1" applyBorder="1" applyAlignment="1">
      <alignment horizontal="left"/>
    </xf>
    <xf numFmtId="15" fontId="7" fillId="4" borderId="5" xfId="1" quotePrefix="1" applyNumberFormat="1" applyFont="1" applyFill="1" applyBorder="1" applyAlignment="1">
      <alignment horizontal="left"/>
    </xf>
    <xf numFmtId="0" fontId="7" fillId="4" borderId="6" xfId="1" applyFont="1" applyFill="1" applyBorder="1" applyAlignment="1">
      <alignment horizontal="left"/>
    </xf>
    <xf numFmtId="15" fontId="2" fillId="2" borderId="0" xfId="1" applyNumberFormat="1" applyFont="1" applyFill="1" applyBorder="1" applyAlignment="1">
      <alignment horizontal="center"/>
    </xf>
    <xf numFmtId="15" fontId="2" fillId="2" borderId="0" xfId="1" quotePrefix="1" applyNumberFormat="1" applyFont="1" applyFill="1" applyBorder="1" applyAlignment="1">
      <alignment horizontal="center"/>
    </xf>
    <xf numFmtId="15" fontId="4" fillId="2" borderId="0" xfId="1" applyNumberFormat="1" applyFont="1" applyFill="1" applyBorder="1" applyAlignment="1">
      <alignment horizontal="center"/>
    </xf>
    <xf numFmtId="15" fontId="4" fillId="2" borderId="0" xfId="1" quotePrefix="1" applyNumberFormat="1" applyFont="1" applyFill="1" applyBorder="1" applyAlignment="1">
      <alignment horizontal="center"/>
    </xf>
    <xf numFmtId="15" fontId="3" fillId="2" borderId="0" xfId="1" quotePrefix="1" applyNumberFormat="1" applyFont="1" applyFill="1" applyBorder="1" applyAlignment="1">
      <alignment horizontal="right"/>
    </xf>
    <xf numFmtId="15" fontId="3" fillId="2" borderId="0" xfId="1" quotePrefix="1" applyNumberFormat="1" applyFont="1" applyFill="1" applyBorder="1" applyAlignment="1">
      <alignment horizontal="left"/>
    </xf>
    <xf numFmtId="164" fontId="3" fillId="2" borderId="0" xfId="1" quotePrefix="1" applyNumberFormat="1" applyFont="1" applyFill="1" applyBorder="1" applyAlignment="1">
      <alignment horizontal="right"/>
    </xf>
    <xf numFmtId="166" fontId="3" fillId="2" borderId="0" xfId="1" quotePrefix="1" applyNumberFormat="1" applyFont="1" applyFill="1" applyBorder="1" applyAlignment="1">
      <alignment horizontal="left"/>
    </xf>
  </cellXfs>
  <cellStyles count="30">
    <cellStyle name="Comma 2" xfId="3"/>
    <cellStyle name="Comma 2 2" xfId="4"/>
    <cellStyle name="Comma 3" xfId="5"/>
    <cellStyle name="Comma 3 2" xfId="6"/>
    <cellStyle name="Comma0" xfId="7"/>
    <cellStyle name="Currency0" xfId="8"/>
    <cellStyle name="Date" xfId="9"/>
    <cellStyle name="Fixed" xfId="10"/>
    <cellStyle name="Normal" xfId="0" builtinId="0"/>
    <cellStyle name="Normal 10" xfId="11"/>
    <cellStyle name="Normal 11" xfId="12"/>
    <cellStyle name="Normal 2" xfId="13"/>
    <cellStyle name="Normal 3" xfId="14"/>
    <cellStyle name="Normal 3 2" xfId="15"/>
    <cellStyle name="Normal 3 2 2" xfId="16"/>
    <cellStyle name="Normal 4" xfId="1"/>
    <cellStyle name="Normal 4 2" xfId="17"/>
    <cellStyle name="Normal 5" xfId="18"/>
    <cellStyle name="Normal 6" xfId="19"/>
    <cellStyle name="Normal 6 2" xfId="2"/>
    <cellStyle name="Normal 7" xfId="20"/>
    <cellStyle name="Normal 8" xfId="21"/>
    <cellStyle name="Normal 9" xfId="22"/>
    <cellStyle name="Percent 2" xfId="23"/>
    <cellStyle name="PSChar" xfId="24"/>
    <cellStyle name="PSDate" xfId="25"/>
    <cellStyle name="PSDec" xfId="26"/>
    <cellStyle name="PSHeading" xfId="27"/>
    <cellStyle name="PSInt" xfId="28"/>
    <cellStyle name="PSSpacer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71"/>
  <sheetViews>
    <sheetView showGridLines="0" showZeros="0" tabSelected="1" zoomScaleNormal="100" workbookViewId="0">
      <selection activeCell="A12" sqref="A12"/>
    </sheetView>
  </sheetViews>
  <sheetFormatPr defaultRowHeight="12.75" x14ac:dyDescent="0.2"/>
  <cols>
    <col min="1" max="1" width="3.140625" style="4" customWidth="1"/>
    <col min="2" max="2" width="3.42578125" style="4" customWidth="1"/>
    <col min="3" max="3" width="21" style="4" customWidth="1"/>
    <col min="4" max="4" width="10.85546875" style="4" customWidth="1"/>
    <col min="5" max="6" width="8.28515625" style="4" customWidth="1"/>
    <col min="7" max="7" width="10.42578125" style="4" customWidth="1"/>
    <col min="8" max="8" width="7.85546875" style="4" customWidth="1"/>
    <col min="9" max="9" width="8.42578125" style="4" customWidth="1"/>
    <col min="10" max="10" width="8.28515625" style="4" customWidth="1"/>
    <col min="11" max="11" width="8.5703125" style="4" customWidth="1"/>
    <col min="12" max="12" width="8" style="4" customWidth="1"/>
    <col min="13" max="16384" width="9.140625" style="4"/>
  </cols>
  <sheetData>
    <row r="1" spans="1:247" s="1" customFormat="1" ht="19.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247" ht="6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47" ht="15.75" x14ac:dyDescent="0.25">
      <c r="A3" s="111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247" ht="15" x14ac:dyDescent="0.2">
      <c r="A4" s="5"/>
      <c r="B4" s="6"/>
      <c r="C4" s="7"/>
      <c r="D4" s="6"/>
      <c r="E4" s="113" t="s">
        <v>2</v>
      </c>
      <c r="F4" s="113"/>
      <c r="G4" s="114" t="s">
        <v>3</v>
      </c>
      <c r="H4" s="114"/>
      <c r="I4" s="6"/>
      <c r="J4" s="6"/>
      <c r="K4" s="6"/>
      <c r="L4" s="6"/>
    </row>
    <row r="5" spans="1:247" ht="15" x14ac:dyDescent="0.2">
      <c r="A5" s="8"/>
      <c r="B5" s="9"/>
      <c r="C5" s="9"/>
      <c r="D5" s="9"/>
      <c r="E5" s="115">
        <v>42608</v>
      </c>
      <c r="F5" s="115"/>
      <c r="G5" s="116">
        <f>E5</f>
        <v>42608</v>
      </c>
      <c r="H5" s="116"/>
      <c r="I5" s="116"/>
      <c r="J5" s="116"/>
      <c r="K5" s="116"/>
      <c r="L5" s="116"/>
    </row>
    <row r="6" spans="1:247" ht="6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247" ht="15" x14ac:dyDescent="0.2">
      <c r="A7" s="3"/>
      <c r="B7" s="3"/>
      <c r="C7" s="3"/>
      <c r="D7" s="10" t="s">
        <v>2</v>
      </c>
      <c r="E7" s="11"/>
      <c r="F7" s="11"/>
      <c r="G7" s="10" t="s">
        <v>4</v>
      </c>
      <c r="H7" s="11"/>
      <c r="I7" s="11"/>
      <c r="J7" s="11"/>
      <c r="K7" s="11"/>
      <c r="L7" s="11"/>
    </row>
    <row r="8" spans="1:247" ht="15" x14ac:dyDescent="0.2">
      <c r="A8" s="3"/>
      <c r="B8" s="3"/>
      <c r="C8" s="3"/>
      <c r="D8" s="12" t="str">
        <f>G4</f>
        <v>1st Week</v>
      </c>
      <c r="E8" s="102">
        <f>E5</f>
        <v>42608</v>
      </c>
      <c r="F8" s="102"/>
      <c r="G8" s="13" t="str">
        <f>D8</f>
        <v>1st Week</v>
      </c>
      <c r="H8" s="102">
        <f>E8</f>
        <v>42608</v>
      </c>
      <c r="I8" s="102"/>
      <c r="J8" s="3"/>
      <c r="K8" s="3"/>
      <c r="L8" s="3"/>
    </row>
    <row r="9" spans="1:247" ht="13.5" customHeight="1" thickBot="1" x14ac:dyDescent="0.25">
      <c r="D9" s="103">
        <f>G5</f>
        <v>42608</v>
      </c>
      <c r="E9" s="103"/>
      <c r="F9" s="14"/>
      <c r="G9" s="104">
        <f>D9-364</f>
        <v>42244</v>
      </c>
      <c r="H9" s="104"/>
    </row>
    <row r="10" spans="1:247" x14ac:dyDescent="0.2">
      <c r="D10" s="15" t="str">
        <f>D7</f>
        <v>Fall 2016</v>
      </c>
      <c r="E10" s="105" t="str">
        <f>G4</f>
        <v>1st Week</v>
      </c>
      <c r="F10" s="106"/>
      <c r="G10" s="16" t="str">
        <f>G7</f>
        <v>Fall 2015</v>
      </c>
      <c r="H10" s="107" t="str">
        <f>G4</f>
        <v>1st Week</v>
      </c>
      <c r="I10" s="108"/>
      <c r="J10" s="17" t="s">
        <v>5</v>
      </c>
      <c r="K10" s="18"/>
      <c r="L10" s="19"/>
    </row>
    <row r="11" spans="1:247" ht="13.5" thickBot="1" x14ac:dyDescent="0.25">
      <c r="D11" s="20" t="s">
        <v>6</v>
      </c>
      <c r="E11" s="21" t="s">
        <v>7</v>
      </c>
      <c r="F11" s="22" t="s">
        <v>8</v>
      </c>
      <c r="G11" s="23" t="s">
        <v>6</v>
      </c>
      <c r="H11" s="24" t="s">
        <v>7</v>
      </c>
      <c r="I11" s="24" t="s">
        <v>8</v>
      </c>
      <c r="J11" s="23" t="s">
        <v>6</v>
      </c>
      <c r="K11" s="24" t="s">
        <v>7</v>
      </c>
      <c r="L11" s="25" t="s">
        <v>8</v>
      </c>
    </row>
    <row r="12" spans="1:247" x14ac:dyDescent="0.2">
      <c r="A12" s="26" t="s">
        <v>9</v>
      </c>
      <c r="B12" s="27"/>
      <c r="C12" s="27"/>
      <c r="D12" s="28"/>
      <c r="E12" s="29"/>
      <c r="F12" s="30"/>
      <c r="G12" s="28"/>
      <c r="H12" s="29"/>
      <c r="I12" s="29"/>
      <c r="J12" s="31"/>
      <c r="K12" s="32"/>
      <c r="L12" s="33"/>
    </row>
    <row r="13" spans="1:247" ht="5.25" customHeight="1" x14ac:dyDescent="0.2">
      <c r="A13" s="34"/>
      <c r="B13" s="35"/>
      <c r="C13" s="35"/>
      <c r="D13" s="36"/>
      <c r="E13" s="37"/>
      <c r="F13" s="38"/>
      <c r="G13" s="36"/>
      <c r="H13" s="39"/>
      <c r="I13" s="39"/>
      <c r="J13" s="40"/>
      <c r="K13" s="41"/>
      <c r="L13" s="42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</row>
    <row r="14" spans="1:247" ht="12.75" customHeight="1" x14ac:dyDescent="0.2">
      <c r="A14" s="34"/>
      <c r="B14" s="35" t="s">
        <v>10</v>
      </c>
      <c r="C14" s="35"/>
      <c r="D14" s="36">
        <v>179550.69410399994</v>
      </c>
      <c r="E14" s="37">
        <v>54206.794111999967</v>
      </c>
      <c r="F14" s="38">
        <f>IF(E14+D14=0," ",E14+D14)</f>
        <v>233757.48821599991</v>
      </c>
      <c r="G14" s="36">
        <v>187694.02350999977</v>
      </c>
      <c r="H14" s="37">
        <v>57461.182346000045</v>
      </c>
      <c r="I14" s="39">
        <f>IF(H14+G14=0," ",H14+G14)</f>
        <v>245155.20585599981</v>
      </c>
      <c r="J14" s="40">
        <f>ROUND((D14-G14)/G14,4)</f>
        <v>-4.3400000000000001E-2</v>
      </c>
      <c r="K14" s="41">
        <f>ROUND((E14-H14)/H14,4)</f>
        <v>-5.6599999999999998E-2</v>
      </c>
      <c r="L14" s="42">
        <f>IF((F14-I14)/I14=0," ",ROUND((F14-I14)/I14,4))</f>
        <v>-4.65E-2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</row>
    <row r="15" spans="1:247" s="44" customFormat="1" ht="12.75" customHeight="1" x14ac:dyDescent="0.2">
      <c r="A15" s="43"/>
      <c r="B15" s="44" t="s">
        <v>11</v>
      </c>
      <c r="D15" s="45">
        <v>19092.909199999947</v>
      </c>
      <c r="E15" s="46">
        <v>3507.9423199999992</v>
      </c>
      <c r="F15" s="47">
        <f>+D15+E15</f>
        <v>22600.851519999946</v>
      </c>
      <c r="G15" s="45">
        <v>19207.376292999983</v>
      </c>
      <c r="H15" s="46">
        <v>3753.1646770000011</v>
      </c>
      <c r="I15" s="48">
        <f>IF(H15+G15=0," ",H15+G15)</f>
        <v>22960.540969999984</v>
      </c>
      <c r="J15" s="49">
        <f t="shared" ref="J15:L16" si="0">ROUND((D15-G15)/(G15),4)</f>
        <v>-6.0000000000000001E-3</v>
      </c>
      <c r="K15" s="50">
        <f t="shared" si="0"/>
        <v>-6.5299999999999997E-2</v>
      </c>
      <c r="L15" s="51">
        <f t="shared" si="0"/>
        <v>-1.5699999999999999E-2</v>
      </c>
    </row>
    <row r="16" spans="1:247" s="44" customFormat="1" ht="12.75" customHeight="1" x14ac:dyDescent="0.2">
      <c r="A16" s="43"/>
      <c r="B16" s="44" t="s">
        <v>12</v>
      </c>
      <c r="D16" s="52">
        <f>+G16</f>
        <v>5129.9893446470633</v>
      </c>
      <c r="E16" s="53">
        <f>+H16</f>
        <v>1570.5882170588238</v>
      </c>
      <c r="F16" s="54">
        <f>+D16+E16</f>
        <v>6700.5775617058871</v>
      </c>
      <c r="G16" s="45">
        <v>5129.9893446470633</v>
      </c>
      <c r="H16" s="48">
        <v>1570.5882170588238</v>
      </c>
      <c r="I16" s="48">
        <f>IF(H16+G16=0," ",H16+G16)</f>
        <v>6700.5775617058871</v>
      </c>
      <c r="J16" s="49">
        <f t="shared" si="0"/>
        <v>0</v>
      </c>
      <c r="K16" s="50">
        <f t="shared" si="0"/>
        <v>0</v>
      </c>
      <c r="L16" s="51">
        <f t="shared" si="0"/>
        <v>0</v>
      </c>
    </row>
    <row r="17" spans="1:247" s="44" customFormat="1" ht="12.75" customHeight="1" x14ac:dyDescent="0.2">
      <c r="A17" s="43"/>
      <c r="B17" s="44" t="s">
        <v>13</v>
      </c>
      <c r="D17" s="52">
        <f>+G17</f>
        <v>16747.325798000002</v>
      </c>
      <c r="E17" s="53">
        <f>+H17</f>
        <v>0</v>
      </c>
      <c r="F17" s="54">
        <f>+D17+E17</f>
        <v>16747.325798000002</v>
      </c>
      <c r="G17" s="45">
        <v>16747.325798000002</v>
      </c>
      <c r="H17" s="48">
        <v>0</v>
      </c>
      <c r="I17" s="48">
        <f>IF(H17+G17=0," ",H17+G17)</f>
        <v>16747.325798000002</v>
      </c>
      <c r="J17" s="49">
        <f>ROUND((D17-G17)/(G17),4)</f>
        <v>0</v>
      </c>
      <c r="K17" s="50"/>
      <c r="L17" s="51">
        <f>ROUND((F17-I17)/(I17),4)</f>
        <v>0</v>
      </c>
    </row>
    <row r="18" spans="1:247" ht="7.9" customHeight="1" x14ac:dyDescent="0.2">
      <c r="A18" s="55"/>
      <c r="B18" s="56"/>
      <c r="D18" s="57"/>
      <c r="E18" s="58"/>
      <c r="F18" s="59"/>
      <c r="G18" s="57"/>
      <c r="I18" s="60"/>
      <c r="J18" s="49"/>
      <c r="K18" s="50"/>
      <c r="L18" s="51"/>
    </row>
    <row r="19" spans="1:247" ht="13.5" thickBot="1" x14ac:dyDescent="0.25">
      <c r="A19" s="55"/>
      <c r="C19" s="4" t="s">
        <v>14</v>
      </c>
      <c r="D19" s="61">
        <f t="shared" ref="D19:I19" si="1">SUM(D14:D18)</f>
        <v>220520.91844664695</v>
      </c>
      <c r="E19" s="62">
        <f t="shared" si="1"/>
        <v>59285.324649058792</v>
      </c>
      <c r="F19" s="63">
        <f t="shared" si="1"/>
        <v>279806.24309570569</v>
      </c>
      <c r="G19" s="61">
        <f t="shared" si="1"/>
        <v>228778.71494564682</v>
      </c>
      <c r="H19" s="62">
        <f t="shared" si="1"/>
        <v>62784.935240058869</v>
      </c>
      <c r="I19" s="62">
        <f t="shared" si="1"/>
        <v>291563.65018570569</v>
      </c>
      <c r="J19" s="64">
        <f>IF((D19-G19)/G19=0," ",ROUND((D19-G19)/G19,4))</f>
        <v>-3.61E-2</v>
      </c>
      <c r="K19" s="65">
        <f>IF((E19-H19)/H19=0," ",ROUND((E19-H19)/H19,4))</f>
        <v>-5.57E-2</v>
      </c>
      <c r="L19" s="66">
        <f>IF((F19-I19)/I19=0," ",ROUND((F19-I19)/I19,4))</f>
        <v>-4.0300000000000002E-2</v>
      </c>
    </row>
    <row r="20" spans="1:247" ht="7.9" customHeight="1" thickTop="1" x14ac:dyDescent="0.2">
      <c r="A20" s="55"/>
      <c r="D20" s="57"/>
      <c r="E20" s="60"/>
      <c r="F20" s="59"/>
      <c r="G20" s="57"/>
      <c r="H20" s="67"/>
      <c r="I20" s="67"/>
      <c r="J20" s="49"/>
      <c r="K20" s="50"/>
      <c r="L20" s="51"/>
    </row>
    <row r="21" spans="1:247" ht="13.5" thickBot="1" x14ac:dyDescent="0.25">
      <c r="A21" s="68"/>
      <c r="B21" s="69"/>
      <c r="C21" s="69" t="s">
        <v>15</v>
      </c>
      <c r="D21" s="70">
        <f>(2444-54-113)+1079+21681</f>
        <v>25037</v>
      </c>
      <c r="E21" s="71">
        <v>4756</v>
      </c>
      <c r="F21" s="72">
        <f>IF(E21+D21=0," ",E21+D21)</f>
        <v>29793</v>
      </c>
      <c r="G21" s="70">
        <f>(2444-51-40-68)+1079+22492</f>
        <v>25856</v>
      </c>
      <c r="H21" s="71">
        <v>5155</v>
      </c>
      <c r="I21" s="71">
        <f>+G21+H21</f>
        <v>31011</v>
      </c>
      <c r="J21" s="73">
        <f>IF((D21-G21)/G21=0," ",ROUND((D21-G21)/G21,4))</f>
        <v>-3.1699999999999999E-2</v>
      </c>
      <c r="K21" s="74">
        <f>IF((E21-H21)/H21=0," ",ROUND((E21-H21)/H21,4))</f>
        <v>-7.7399999999999997E-2</v>
      </c>
      <c r="L21" s="75">
        <f>IF((F21-I21)/I21=0," ",ROUND((F21-I21)/I21,4))</f>
        <v>-3.9300000000000002E-2</v>
      </c>
      <c r="M21" s="67"/>
      <c r="P21" s="67"/>
    </row>
    <row r="22" spans="1:247" x14ac:dyDescent="0.2">
      <c r="A22" s="26" t="s">
        <v>16</v>
      </c>
      <c r="B22" s="27"/>
      <c r="C22" s="27"/>
      <c r="D22" s="28"/>
      <c r="E22" s="29"/>
      <c r="F22" s="30"/>
      <c r="G22" s="28"/>
      <c r="H22" s="29"/>
      <c r="I22" s="29"/>
      <c r="J22" s="49"/>
      <c r="K22" s="50"/>
      <c r="L22" s="33"/>
    </row>
    <row r="23" spans="1:247" ht="5.25" customHeight="1" x14ac:dyDescent="0.2">
      <c r="A23" s="34"/>
      <c r="B23" s="35"/>
      <c r="C23" s="35"/>
      <c r="D23" s="36"/>
      <c r="E23" s="37"/>
      <c r="F23" s="38"/>
      <c r="G23" s="36"/>
      <c r="H23" s="39"/>
      <c r="I23" s="39"/>
      <c r="J23" s="40"/>
      <c r="K23" s="41"/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</row>
    <row r="24" spans="1:247" ht="12.75" customHeight="1" x14ac:dyDescent="0.2">
      <c r="A24" s="34"/>
      <c r="B24" s="35" t="s">
        <v>10</v>
      </c>
      <c r="C24" s="35"/>
      <c r="D24" s="36">
        <v>99729.696458000006</v>
      </c>
      <c r="E24" s="37">
        <v>24563.893527000007</v>
      </c>
      <c r="F24" s="38">
        <f>IF(E24+D24=0," ",E24+D24)</f>
        <v>124293.58998500001</v>
      </c>
      <c r="G24" s="36">
        <v>101290.44292900016</v>
      </c>
      <c r="H24" s="37">
        <v>26424.184115999997</v>
      </c>
      <c r="I24" s="39">
        <f>IF(H24+G24=0," ",H24+G24)</f>
        <v>127714.62704500015</v>
      </c>
      <c r="J24" s="40">
        <f>ROUND((D24-G24)/G24,4)</f>
        <v>-1.54E-2</v>
      </c>
      <c r="K24" s="41">
        <f>ROUND((E24-H24)/H24,4)</f>
        <v>-7.0400000000000004E-2</v>
      </c>
      <c r="L24" s="42">
        <f>IF((F24-I24)/I24=0," ",ROUND((F24-I24)/I24,4))</f>
        <v>-2.6800000000000001E-2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</row>
    <row r="25" spans="1:247" s="44" customFormat="1" ht="12.75" customHeight="1" x14ac:dyDescent="0.2">
      <c r="A25" s="43"/>
      <c r="B25" s="44" t="str">
        <f>+B15</f>
        <v>Daily</v>
      </c>
      <c r="D25" s="45">
        <v>9524.4458369999975</v>
      </c>
      <c r="E25" s="46">
        <v>1027.547051</v>
      </c>
      <c r="F25" s="47">
        <f>IF(E25+D25=0," ",E25+D25)</f>
        <v>10551.992887999997</v>
      </c>
      <c r="G25" s="45">
        <v>8873.6740660000032</v>
      </c>
      <c r="H25" s="46">
        <v>678.67646500000012</v>
      </c>
      <c r="I25" s="46">
        <f>IF(H25+G25=0," ",H25+G25)</f>
        <v>9552.3505310000037</v>
      </c>
      <c r="J25" s="49">
        <f t="shared" ref="J25:L26" si="2">ROUND((D25-G25)/(G25),4)</f>
        <v>7.3300000000000004E-2</v>
      </c>
      <c r="K25" s="50">
        <f t="shared" si="2"/>
        <v>0.51400000000000001</v>
      </c>
      <c r="L25" s="51">
        <f t="shared" si="2"/>
        <v>0.1046</v>
      </c>
    </row>
    <row r="26" spans="1:247" s="44" customFormat="1" ht="12.75" customHeight="1" x14ac:dyDescent="0.2">
      <c r="A26" s="43"/>
      <c r="B26" s="44" t="str">
        <f>+B16</f>
        <v>Estimated Positive</v>
      </c>
      <c r="D26" s="45">
        <f>+G26</f>
        <v>3295.3999790000003</v>
      </c>
      <c r="E26" s="46">
        <f>+H26</f>
        <v>592.20587699999987</v>
      </c>
      <c r="F26" s="47">
        <f>IF(E26+D26=0," ",E26+D26)</f>
        <v>3887.6058560000001</v>
      </c>
      <c r="G26" s="45">
        <v>3295.3999790000003</v>
      </c>
      <c r="H26" s="46">
        <v>592.20587699999987</v>
      </c>
      <c r="I26" s="48">
        <f>IF(H26+G26=0," ",H26+G26)</f>
        <v>3887.6058560000001</v>
      </c>
      <c r="J26" s="49">
        <f t="shared" si="2"/>
        <v>0</v>
      </c>
      <c r="K26" s="50">
        <f t="shared" si="2"/>
        <v>0</v>
      </c>
      <c r="L26" s="51">
        <f t="shared" si="2"/>
        <v>0</v>
      </c>
    </row>
    <row r="27" spans="1:247" ht="7.5" customHeight="1" x14ac:dyDescent="0.2">
      <c r="A27" s="55"/>
      <c r="B27" s="56"/>
      <c r="D27" s="57"/>
      <c r="E27" s="58"/>
      <c r="F27" s="59"/>
      <c r="G27" s="57"/>
      <c r="I27" s="60"/>
      <c r="J27" s="49"/>
      <c r="K27" s="50"/>
      <c r="L27" s="51"/>
    </row>
    <row r="28" spans="1:247" ht="13.5" thickBot="1" x14ac:dyDescent="0.25">
      <c r="A28" s="55"/>
      <c r="C28" s="4" t="s">
        <v>14</v>
      </c>
      <c r="D28" s="61">
        <f>SUM(D24:D27)</f>
        <v>112549.54227399999</v>
      </c>
      <c r="E28" s="62">
        <f t="shared" ref="E28:I28" si="3">SUM(E24:E27)</f>
        <v>26183.646455000009</v>
      </c>
      <c r="F28" s="63">
        <f t="shared" si="3"/>
        <v>138733.18872900002</v>
      </c>
      <c r="G28" s="61">
        <f t="shared" si="3"/>
        <v>113459.51697400016</v>
      </c>
      <c r="H28" s="62">
        <f t="shared" si="3"/>
        <v>27695.066457999998</v>
      </c>
      <c r="I28" s="62">
        <f t="shared" si="3"/>
        <v>141154.58343200016</v>
      </c>
      <c r="J28" s="64">
        <f>IF((D28-G28)/G28=0," ",ROUND((D28-G28)/G28,4))</f>
        <v>-8.0000000000000002E-3</v>
      </c>
      <c r="K28" s="65">
        <f>IF((E28-H28)/H28=0," ",ROUND((E28-H28)/H28,4))</f>
        <v>-5.4600000000000003E-2</v>
      </c>
      <c r="L28" s="66">
        <f>IF((F28-I28)/I28=0," ",ROUND((F28-I28)/I28,4))</f>
        <v>-1.72E-2</v>
      </c>
    </row>
    <row r="29" spans="1:247" ht="7.9" customHeight="1" thickTop="1" x14ac:dyDescent="0.2">
      <c r="A29" s="55"/>
      <c r="D29" s="57"/>
      <c r="E29" s="60"/>
      <c r="F29" s="59"/>
      <c r="G29" s="57"/>
      <c r="H29" s="67"/>
      <c r="I29" s="67"/>
      <c r="J29" s="49"/>
      <c r="K29" s="50"/>
      <c r="L29" s="51"/>
    </row>
    <row r="30" spans="1:247" ht="13.5" thickBot="1" x14ac:dyDescent="0.25">
      <c r="A30" s="68"/>
      <c r="B30" s="69"/>
      <c r="C30" s="69" t="s">
        <v>15</v>
      </c>
      <c r="D30" s="70">
        <v>12980</v>
      </c>
      <c r="E30" s="71">
        <v>1774</v>
      </c>
      <c r="F30" s="72">
        <f>IF(E30+D30=0," ",E30+D30)</f>
        <v>14754</v>
      </c>
      <c r="G30" s="70">
        <v>12996</v>
      </c>
      <c r="H30" s="71">
        <v>1948</v>
      </c>
      <c r="I30" s="71">
        <f>+G30+H30</f>
        <v>14944</v>
      </c>
      <c r="J30" s="73">
        <f>IF((D30-G30)/G30=0," ",ROUND((D30-G30)/G30,4))</f>
        <v>-1.1999999999999999E-3</v>
      </c>
      <c r="K30" s="74">
        <f>IF((E30-H30)/H30=0," ",ROUND((E30-H30)/H30,4))</f>
        <v>-8.9300000000000004E-2</v>
      </c>
      <c r="L30" s="75">
        <f>IF((F30-I30)/I30=0," ",ROUND((F30-I30)/I30,4))</f>
        <v>-1.2699999999999999E-2</v>
      </c>
    </row>
    <row r="31" spans="1:247" x14ac:dyDescent="0.2">
      <c r="A31" s="26" t="s">
        <v>17</v>
      </c>
      <c r="B31" s="27"/>
      <c r="C31" s="27"/>
      <c r="D31" s="28"/>
      <c r="E31" s="29"/>
      <c r="F31" s="30"/>
      <c r="G31" s="28"/>
      <c r="H31" s="29"/>
      <c r="I31" s="29"/>
      <c r="J31" s="49"/>
      <c r="K31" s="50"/>
      <c r="L31" s="33"/>
    </row>
    <row r="32" spans="1:247" ht="5.25" customHeight="1" x14ac:dyDescent="0.2">
      <c r="A32" s="34"/>
      <c r="B32" s="35"/>
      <c r="C32" s="35"/>
      <c r="D32" s="36"/>
      <c r="E32" s="37"/>
      <c r="F32" s="38"/>
      <c r="G32" s="36"/>
      <c r="H32" s="39"/>
      <c r="I32" s="39"/>
      <c r="J32" s="40"/>
      <c r="K32" s="41"/>
      <c r="L32" s="42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</row>
    <row r="33" spans="1:247" ht="12.75" customHeight="1" x14ac:dyDescent="0.2">
      <c r="A33" s="34"/>
      <c r="B33" s="35" t="s">
        <v>10</v>
      </c>
      <c r="C33" s="35"/>
      <c r="D33" s="36">
        <v>57806.758820999996</v>
      </c>
      <c r="E33" s="37">
        <v>19310.405880999995</v>
      </c>
      <c r="F33" s="38">
        <f>IF(E33+D33=0," ",E33+D33)</f>
        <v>77117.164701999995</v>
      </c>
      <c r="G33" s="36">
        <v>57529.694114999984</v>
      </c>
      <c r="H33" s="37">
        <v>20155.400000000012</v>
      </c>
      <c r="I33" s="39">
        <f>IF(H33+G33=0," ",H33+G33)</f>
        <v>77685.094115</v>
      </c>
      <c r="J33" s="40">
        <f>ROUND((D33-G33)/G33,4)</f>
        <v>4.7999999999999996E-3</v>
      </c>
      <c r="K33" s="41">
        <f>ROUND((E33-H33)/H33,4)</f>
        <v>-4.19E-2</v>
      </c>
      <c r="L33" s="42">
        <f>IF((F33-I33)/I33=0," ",ROUND((F33-I33)/I33,4))</f>
        <v>-7.3000000000000001E-3</v>
      </c>
      <c r="M33" s="35"/>
      <c r="N33" s="35"/>
      <c r="O33" s="35" t="s">
        <v>18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</row>
    <row r="34" spans="1:247" s="44" customFormat="1" ht="12.75" customHeight="1" x14ac:dyDescent="0.2">
      <c r="A34" s="43"/>
      <c r="B34" s="44" t="str">
        <f>+B15</f>
        <v>Daily</v>
      </c>
      <c r="D34" s="45">
        <v>4866.864697</v>
      </c>
      <c r="E34" s="46">
        <v>1110.05882</v>
      </c>
      <c r="F34" s="47">
        <f>+D34+E34</f>
        <v>5976.9235170000002</v>
      </c>
      <c r="G34" s="45">
        <v>4972.7176369999997</v>
      </c>
      <c r="H34" s="46">
        <v>1717.9411729999999</v>
      </c>
      <c r="I34" s="48">
        <f>IF(H34+G34=0," ",H34+G34)</f>
        <v>6690.6588099999999</v>
      </c>
      <c r="J34" s="49">
        <f t="shared" ref="J34:L35" si="4">ROUND((D34-G34)/(G34),4)</f>
        <v>-2.1299999999999999E-2</v>
      </c>
      <c r="K34" s="50">
        <f t="shared" si="4"/>
        <v>-0.3538</v>
      </c>
      <c r="L34" s="51">
        <f t="shared" si="4"/>
        <v>-0.1067</v>
      </c>
    </row>
    <row r="35" spans="1:247" s="44" customFormat="1" ht="12.75" customHeight="1" x14ac:dyDescent="0.2">
      <c r="A35" s="43"/>
      <c r="B35" s="44" t="str">
        <f>+B16</f>
        <v>Estimated Positive</v>
      </c>
      <c r="D35" s="45">
        <f>+G35</f>
        <v>1056.9705710000003</v>
      </c>
      <c r="E35" s="46">
        <f>+H35</f>
        <v>781.88235000000009</v>
      </c>
      <c r="F35" s="47">
        <f>+D35+E35</f>
        <v>1838.8529210000004</v>
      </c>
      <c r="G35" s="45">
        <v>1056.9705710000003</v>
      </c>
      <c r="H35" s="48">
        <v>781.88235000000009</v>
      </c>
      <c r="I35" s="48">
        <f>IF(H35+G35=0," ",H35+G35)</f>
        <v>1838.8529210000004</v>
      </c>
      <c r="J35" s="49">
        <f t="shared" si="4"/>
        <v>0</v>
      </c>
      <c r="K35" s="50">
        <f t="shared" si="4"/>
        <v>0</v>
      </c>
      <c r="L35" s="51">
        <f t="shared" si="4"/>
        <v>0</v>
      </c>
    </row>
    <row r="36" spans="1:247" ht="7.9" customHeight="1" x14ac:dyDescent="0.2">
      <c r="A36" s="55"/>
      <c r="B36" s="56"/>
      <c r="D36" s="57"/>
      <c r="E36" s="58"/>
      <c r="F36" s="59"/>
      <c r="G36" s="57"/>
      <c r="I36" s="60"/>
      <c r="J36" s="49"/>
      <c r="K36" s="50"/>
      <c r="L36" s="51"/>
    </row>
    <row r="37" spans="1:247" ht="13.5" thickBot="1" x14ac:dyDescent="0.25">
      <c r="A37" s="55"/>
      <c r="C37" s="4" t="s">
        <v>14</v>
      </c>
      <c r="D37" s="61">
        <f t="shared" ref="D37:I37" si="5">SUM(D33:D36)</f>
        <v>63730.594088999991</v>
      </c>
      <c r="E37" s="62">
        <f t="shared" si="5"/>
        <v>21202.347050999993</v>
      </c>
      <c r="F37" s="63">
        <f t="shared" si="5"/>
        <v>84932.941139999995</v>
      </c>
      <c r="G37" s="61">
        <f t="shared" si="5"/>
        <v>63559.382322999983</v>
      </c>
      <c r="H37" s="62">
        <f t="shared" si="5"/>
        <v>22655.223523000011</v>
      </c>
      <c r="I37" s="62">
        <f t="shared" si="5"/>
        <v>86214.605845999991</v>
      </c>
      <c r="J37" s="64">
        <f>IF((D37-G37)/G37=0," ",ROUND((D37-G37)/G37,4))</f>
        <v>2.7000000000000001E-3</v>
      </c>
      <c r="K37" s="65">
        <f>IF((E37-H37)/H37=0," ",ROUND((E37-H37)/H37,4))</f>
        <v>-6.4100000000000004E-2</v>
      </c>
      <c r="L37" s="66">
        <f>IF((F37-I37)/I37=0," ",ROUND((F37-I37)/I37,4))</f>
        <v>-1.49E-2</v>
      </c>
    </row>
    <row r="38" spans="1:247" ht="7.9" customHeight="1" thickTop="1" x14ac:dyDescent="0.2">
      <c r="A38" s="55"/>
      <c r="D38" s="57"/>
      <c r="E38" s="60"/>
      <c r="F38" s="59"/>
      <c r="G38" s="57"/>
      <c r="H38" s="67"/>
      <c r="I38" s="67"/>
      <c r="J38" s="49"/>
      <c r="K38" s="50"/>
      <c r="L38" s="51"/>
    </row>
    <row r="39" spans="1:247" ht="13.5" thickBot="1" x14ac:dyDescent="0.25">
      <c r="A39" s="68"/>
      <c r="B39" s="69"/>
      <c r="C39" s="69" t="s">
        <v>15</v>
      </c>
      <c r="D39" s="70">
        <v>7072</v>
      </c>
      <c r="E39" s="71">
        <v>1703</v>
      </c>
      <c r="F39" s="72">
        <f>IF(E39+D39=0," ",E39+D39)</f>
        <v>8775</v>
      </c>
      <c r="G39" s="70">
        <v>7012</v>
      </c>
      <c r="H39" s="71">
        <v>1814</v>
      </c>
      <c r="I39" s="71">
        <f>+G39+H39</f>
        <v>8826</v>
      </c>
      <c r="J39" s="73">
        <f>IF((D39-G39)/G39=0," ",ROUND((D39-G39)/G39,4))</f>
        <v>8.6E-3</v>
      </c>
      <c r="K39" s="74">
        <f>IF((E39-H39)/H39=0," ",ROUND((E39-H39)/H39,4))</f>
        <v>-6.1199999999999997E-2</v>
      </c>
      <c r="L39" s="75">
        <f>IF((F39-I39)/I39=0," ",ROUND((F39-I39)/I39,4))</f>
        <v>-5.7999999999999996E-3</v>
      </c>
    </row>
    <row r="40" spans="1:247" x14ac:dyDescent="0.2">
      <c r="A40" s="26" t="s">
        <v>19</v>
      </c>
      <c r="B40" s="27"/>
      <c r="C40" s="27"/>
      <c r="D40" s="28"/>
      <c r="E40" s="29"/>
      <c r="F40" s="30"/>
      <c r="G40" s="28"/>
      <c r="H40" s="29" t="s">
        <v>20</v>
      </c>
      <c r="I40" s="29"/>
      <c r="J40" s="49"/>
      <c r="K40" s="50"/>
      <c r="L40" s="33"/>
    </row>
    <row r="41" spans="1:247" ht="5.25" customHeight="1" x14ac:dyDescent="0.2">
      <c r="A41" s="34"/>
      <c r="B41" s="35"/>
      <c r="C41" s="35"/>
      <c r="D41" s="36"/>
      <c r="E41" s="37"/>
      <c r="F41" s="38"/>
      <c r="G41" s="36"/>
      <c r="H41" s="39"/>
      <c r="I41" s="39"/>
      <c r="J41" s="40"/>
      <c r="K41" s="41"/>
      <c r="L41" s="42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</row>
    <row r="42" spans="1:247" ht="12.75" customHeight="1" x14ac:dyDescent="0.2">
      <c r="A42" s="34"/>
      <c r="B42" s="35" t="s">
        <v>10</v>
      </c>
      <c r="C42" s="35"/>
      <c r="D42" s="36">
        <v>154769.27761799999</v>
      </c>
      <c r="E42" s="37">
        <v>34869.462345000014</v>
      </c>
      <c r="F42" s="38">
        <f>IF(E42+D42=0," ",E42+D42)</f>
        <v>189638.739963</v>
      </c>
      <c r="G42" s="36">
        <v>160636.16291599994</v>
      </c>
      <c r="H42" s="37">
        <v>36195.435290000001</v>
      </c>
      <c r="I42" s="39">
        <f>IF(H42+G42=0," ",H42+G42)</f>
        <v>196831.59820599994</v>
      </c>
      <c r="J42" s="40">
        <f>ROUND((D42-G42)/G42,4)</f>
        <v>-3.6499999999999998E-2</v>
      </c>
      <c r="K42" s="41">
        <f>ROUND((E42-H42)/H42,4)</f>
        <v>-3.6600000000000001E-2</v>
      </c>
      <c r="L42" s="42">
        <f>IF((F42-I42)/I42=0," ",ROUND((F42-I42)/I42,4))</f>
        <v>-3.6499999999999998E-2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</row>
    <row r="43" spans="1:247" s="44" customFormat="1" ht="12.75" customHeight="1" x14ac:dyDescent="0.2">
      <c r="A43" s="43"/>
      <c r="B43" s="44" t="str">
        <f>+B15</f>
        <v>Daily</v>
      </c>
      <c r="D43" s="45">
        <v>14102.889928000001</v>
      </c>
      <c r="E43" s="46">
        <v>3869.9117459999993</v>
      </c>
      <c r="F43" s="47">
        <f>+D43+E43</f>
        <v>17972.801673999998</v>
      </c>
      <c r="G43" s="45">
        <v>13218.335218000004</v>
      </c>
      <c r="H43" s="46">
        <v>3426.1470409999997</v>
      </c>
      <c r="I43" s="48">
        <f>IF(H43+G43=0," ",H43+G43)</f>
        <v>16644.482259000004</v>
      </c>
      <c r="J43" s="49">
        <f t="shared" ref="J43:L44" si="6">ROUND((D43-G43)/(G43),4)</f>
        <v>6.6900000000000001E-2</v>
      </c>
      <c r="K43" s="50">
        <f t="shared" si="6"/>
        <v>0.1295</v>
      </c>
      <c r="L43" s="51">
        <f t="shared" si="6"/>
        <v>7.9799999999999996E-2</v>
      </c>
    </row>
    <row r="44" spans="1:247" s="44" customFormat="1" ht="12.75" customHeight="1" x14ac:dyDescent="0.2">
      <c r="A44" s="43"/>
      <c r="B44" s="44" t="str">
        <f>+B16</f>
        <v>Estimated Positive</v>
      </c>
      <c r="D44" s="45">
        <f>+G44</f>
        <v>9864.5681378823483</v>
      </c>
      <c r="E44" s="46">
        <f>+H44</f>
        <v>508.70587535294118</v>
      </c>
      <c r="F44" s="47">
        <f>+D44+E44</f>
        <v>10373.27401323529</v>
      </c>
      <c r="G44" s="45">
        <v>9864.5681378823483</v>
      </c>
      <c r="H44" s="48">
        <v>508.70587535294118</v>
      </c>
      <c r="I44" s="48">
        <f>IF(H44+G44=0," ",H44+G44)</f>
        <v>10373.27401323529</v>
      </c>
      <c r="J44" s="49">
        <f t="shared" si="6"/>
        <v>0</v>
      </c>
      <c r="K44" s="50">
        <f t="shared" si="6"/>
        <v>0</v>
      </c>
      <c r="L44" s="51">
        <f t="shared" si="6"/>
        <v>0</v>
      </c>
    </row>
    <row r="45" spans="1:247" ht="7.9" customHeight="1" x14ac:dyDescent="0.2">
      <c r="A45" s="55"/>
      <c r="B45" s="56"/>
      <c r="D45" s="57"/>
      <c r="E45" s="58"/>
      <c r="F45" s="59"/>
      <c r="G45" s="57"/>
      <c r="I45" s="60"/>
      <c r="J45" s="49"/>
      <c r="K45" s="50"/>
      <c r="L45" s="51"/>
    </row>
    <row r="46" spans="1:247" ht="13.5" thickBot="1" x14ac:dyDescent="0.25">
      <c r="A46" s="55"/>
      <c r="C46" s="4" t="s">
        <v>14</v>
      </c>
      <c r="D46" s="61">
        <f t="shared" ref="D46:I46" si="7">SUM(D42:D45)</f>
        <v>178736.73568388232</v>
      </c>
      <c r="E46" s="62">
        <f t="shared" si="7"/>
        <v>39248.079966352954</v>
      </c>
      <c r="F46" s="63">
        <f t="shared" si="7"/>
        <v>217984.81565023528</v>
      </c>
      <c r="G46" s="61">
        <f t="shared" si="7"/>
        <v>183719.06627188227</v>
      </c>
      <c r="H46" s="62">
        <f t="shared" si="7"/>
        <v>40130.28820635294</v>
      </c>
      <c r="I46" s="62">
        <f t="shared" si="7"/>
        <v>223849.35447823524</v>
      </c>
      <c r="J46" s="64">
        <f>IF((D46-G46)/G46=0," ",ROUND((D46-G46)/G46,4))</f>
        <v>-2.7099999999999999E-2</v>
      </c>
      <c r="K46" s="65">
        <f>IF((E46-H46)/H46=0," ",ROUND((E46-H46)/H46,4))</f>
        <v>-2.1999999999999999E-2</v>
      </c>
      <c r="L46" s="66">
        <f>IF((F46-I46)/I46=0," ",ROUND((F46-I46)/I46,4))</f>
        <v>-2.6200000000000001E-2</v>
      </c>
    </row>
    <row r="47" spans="1:247" ht="7.9" customHeight="1" thickTop="1" x14ac:dyDescent="0.2">
      <c r="A47" s="55"/>
      <c r="D47" s="57"/>
      <c r="E47" s="60"/>
      <c r="F47" s="59"/>
      <c r="G47" s="57"/>
      <c r="H47" s="67"/>
      <c r="I47" s="67"/>
      <c r="J47" s="49"/>
      <c r="K47" s="50"/>
      <c r="L47" s="51"/>
    </row>
    <row r="48" spans="1:247" ht="13.5" thickBot="1" x14ac:dyDescent="0.25">
      <c r="A48" s="68"/>
      <c r="B48" s="69"/>
      <c r="C48" s="69" t="s">
        <v>15</v>
      </c>
      <c r="D48" s="70">
        <f>(1358-1)+18196</f>
        <v>19553</v>
      </c>
      <c r="E48" s="71">
        <f>407+2790</f>
        <v>3197</v>
      </c>
      <c r="F48" s="72">
        <f>IF(E48+D48=0," ",E48+D48)</f>
        <v>22750</v>
      </c>
      <c r="G48" s="70">
        <f>(1358-1)+18911</f>
        <v>20268</v>
      </c>
      <c r="H48" s="71">
        <f>407+2911</f>
        <v>3318</v>
      </c>
      <c r="I48" s="76">
        <f>+G48+H48</f>
        <v>23586</v>
      </c>
      <c r="J48" s="73">
        <f>IF((D48-G48)/G48=0," ",ROUND((D48-G48)/G48,4))</f>
        <v>-3.5299999999999998E-2</v>
      </c>
      <c r="K48" s="74">
        <f>IF((E48-H48)/H48=0," ",ROUND((E48-H48)/H48,4))</f>
        <v>-3.6499999999999998E-2</v>
      </c>
      <c r="L48" s="75">
        <f>IF((F48-I48)/I48=0," ",ROUND((F48-I48)/I48,4))</f>
        <v>-3.5400000000000001E-2</v>
      </c>
    </row>
    <row r="49" spans="1:247" x14ac:dyDescent="0.2">
      <c r="A49" s="26" t="s">
        <v>21</v>
      </c>
      <c r="B49" s="27"/>
      <c r="C49" s="27"/>
      <c r="D49" s="28"/>
      <c r="E49" s="29"/>
      <c r="F49" s="30"/>
      <c r="G49" s="28"/>
      <c r="H49" s="29"/>
      <c r="I49" s="29"/>
      <c r="J49" s="49"/>
      <c r="K49" s="50"/>
      <c r="L49" s="33"/>
    </row>
    <row r="50" spans="1:247" ht="5.25" customHeight="1" x14ac:dyDescent="0.2">
      <c r="A50" s="34"/>
      <c r="B50" s="35"/>
      <c r="C50" s="35"/>
      <c r="D50" s="36"/>
      <c r="E50" s="37"/>
      <c r="F50" s="38"/>
      <c r="G50" s="36"/>
      <c r="H50" s="39"/>
      <c r="I50" s="39"/>
      <c r="J50" s="40"/>
      <c r="K50" s="41"/>
      <c r="L50" s="42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</row>
    <row r="51" spans="1:247" ht="12.75" customHeight="1" x14ac:dyDescent="0.2">
      <c r="A51" s="34"/>
      <c r="B51" s="35" t="s">
        <v>10</v>
      </c>
      <c r="C51" s="35"/>
      <c r="D51" s="36">
        <f>IF(D14+D24+D33+D42=0," ",D14+D24+D33+D42)</f>
        <v>491856.42700099992</v>
      </c>
      <c r="E51" s="37">
        <f>IF(E14+E24+E33+E42=0," ",E14+E24+E33+E42)</f>
        <v>132950.555865</v>
      </c>
      <c r="F51" s="38">
        <f>IF(E51+D51=0," ",E51+D51)</f>
        <v>624806.98286599992</v>
      </c>
      <c r="G51" s="36">
        <f>IF(G14+G24+G33+G42=0," ",G14+G24+G33+G42)</f>
        <v>507150.32346999983</v>
      </c>
      <c r="H51" s="37">
        <f>IF(H14+H24+H33+H42=0," ",H14+H24+H33+H42)</f>
        <v>140236.20175200005</v>
      </c>
      <c r="I51" s="77">
        <f>IF(H51+G51=0," ",H51+G51)</f>
        <v>647386.52522199985</v>
      </c>
      <c r="J51" s="40">
        <f t="shared" ref="J51:K53" si="8">ROUND((D51-G51)/G51,4)</f>
        <v>-3.0200000000000001E-2</v>
      </c>
      <c r="K51" s="41">
        <f t="shared" si="8"/>
        <v>-5.1999999999999998E-2</v>
      </c>
      <c r="L51" s="42">
        <f>IF((F51-I51)/I51=0," ",ROUND((F51-I51)/I51,4))</f>
        <v>-3.49E-2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</row>
    <row r="52" spans="1:247" s="44" customFormat="1" ht="12.75" customHeight="1" x14ac:dyDescent="0.2">
      <c r="A52" s="43"/>
      <c r="B52" s="44" t="str">
        <f>+B15</f>
        <v>Daily</v>
      </c>
      <c r="D52" s="45">
        <f>+D43+D34+D25+D15</f>
        <v>47587.109661999944</v>
      </c>
      <c r="E52" s="46">
        <f>+E43+E34+E25+E15</f>
        <v>9515.4599369999996</v>
      </c>
      <c r="F52" s="47">
        <f>IF(E52+D52=0," ",E52+D52)</f>
        <v>57102.569598999944</v>
      </c>
      <c r="G52" s="45">
        <f>+G43+G34+G25+G15</f>
        <v>46272.103213999988</v>
      </c>
      <c r="H52" s="46">
        <f>+H43+H34+H25+H15</f>
        <v>9575.9293560000006</v>
      </c>
      <c r="I52" s="54">
        <f>IF(H52+G52=0," ",H52+G52)</f>
        <v>55848.032569999988</v>
      </c>
      <c r="J52" s="78">
        <f t="shared" si="8"/>
        <v>2.8400000000000002E-2</v>
      </c>
      <c r="K52" s="79">
        <f t="shared" si="8"/>
        <v>-6.3E-3</v>
      </c>
      <c r="L52" s="80">
        <f>IF((F52-I52)/I52=0," ",ROUND((F52-I52)/I52,4))</f>
        <v>2.2499999999999999E-2</v>
      </c>
    </row>
    <row r="53" spans="1:247" s="44" customFormat="1" ht="12.75" customHeight="1" x14ac:dyDescent="0.2">
      <c r="A53" s="43"/>
      <c r="B53" s="44" t="str">
        <f>+B16</f>
        <v>Estimated Positive</v>
      </c>
      <c r="D53" s="45">
        <f>+D16+D26+D35+D44</f>
        <v>19346.928032529409</v>
      </c>
      <c r="E53" s="46">
        <f>+E16+E26+E35+E44</f>
        <v>3453.3823194117654</v>
      </c>
      <c r="F53" s="47">
        <f>IF(E53+D53=0," ",E53+D53)</f>
        <v>22800.310351941174</v>
      </c>
      <c r="G53" s="45">
        <f>+G16+G26+G35+G44</f>
        <v>19346.928032529409</v>
      </c>
      <c r="H53" s="46">
        <f>+H16+H26+H35+H44</f>
        <v>3453.3823194117654</v>
      </c>
      <c r="I53" s="47">
        <f>IF(H53+G53=0," ",H53+G53)</f>
        <v>22800.310351941174</v>
      </c>
      <c r="J53" s="78">
        <f t="shared" si="8"/>
        <v>0</v>
      </c>
      <c r="K53" s="79">
        <f t="shared" si="8"/>
        <v>0</v>
      </c>
      <c r="L53" s="80" t="str">
        <f>IF((F53-I53)/I53=0," ",ROUND((F53-I53)/I53,4))</f>
        <v xml:space="preserve"> </v>
      </c>
    </row>
    <row r="54" spans="1:247" s="44" customFormat="1" ht="12.75" customHeight="1" x14ac:dyDescent="0.2">
      <c r="A54" s="43"/>
      <c r="B54" s="44" t="str">
        <f>+B17</f>
        <v>Estimated Special Positive</v>
      </c>
      <c r="D54" s="45">
        <f>+D17</f>
        <v>16747.325798000002</v>
      </c>
      <c r="E54" s="46">
        <f>+E17</f>
        <v>0</v>
      </c>
      <c r="F54" s="47">
        <f>IF(E54+D54=0," ",E54+D54)</f>
        <v>16747.325798000002</v>
      </c>
      <c r="G54" s="45">
        <f>+G17</f>
        <v>16747.325798000002</v>
      </c>
      <c r="H54" s="46">
        <f>+H17</f>
        <v>0</v>
      </c>
      <c r="I54" s="47">
        <f>IF(H54+G54=0," ",H54+G54)</f>
        <v>16747.325798000002</v>
      </c>
      <c r="J54" s="78"/>
      <c r="K54" s="79"/>
      <c r="L54" s="80"/>
    </row>
    <row r="55" spans="1:247" ht="6" customHeight="1" x14ac:dyDescent="0.2">
      <c r="A55" s="55"/>
      <c r="B55" s="56"/>
      <c r="D55" s="57"/>
      <c r="E55" s="58"/>
      <c r="F55" s="59"/>
      <c r="G55" s="57"/>
      <c r="I55" s="60"/>
      <c r="J55" s="49"/>
      <c r="K55" s="50"/>
      <c r="L55" s="51"/>
    </row>
    <row r="56" spans="1:247" ht="13.5" thickBot="1" x14ac:dyDescent="0.25">
      <c r="A56" s="55"/>
      <c r="C56" s="4" t="s">
        <v>14</v>
      </c>
      <c r="D56" s="61">
        <f t="shared" ref="D56:I56" si="9">SUM(D51:D55)</f>
        <v>575537.79049352929</v>
      </c>
      <c r="E56" s="62">
        <f t="shared" si="9"/>
        <v>145919.39812141177</v>
      </c>
      <c r="F56" s="63">
        <f t="shared" si="9"/>
        <v>721457.18861494097</v>
      </c>
      <c r="G56" s="61">
        <f t="shared" si="9"/>
        <v>589516.68051452923</v>
      </c>
      <c r="H56" s="62">
        <f t="shared" si="9"/>
        <v>153265.51342741182</v>
      </c>
      <c r="I56" s="62">
        <f t="shared" si="9"/>
        <v>742782.19394194102</v>
      </c>
      <c r="J56" s="64">
        <f>IF((D56-G56)/G56=0," ",ROUND((D56-G56)/G56,4))</f>
        <v>-2.3699999999999999E-2</v>
      </c>
      <c r="K56" s="65">
        <f>IF((E56-H56)/H56=0," ",ROUND((E56-H56)/H56,4))</f>
        <v>-4.7899999999999998E-2</v>
      </c>
      <c r="L56" s="66">
        <f>IF((F56-I56)/I56=0," ",ROUND((F56-I56)/I56,4))</f>
        <v>-2.87E-2</v>
      </c>
    </row>
    <row r="57" spans="1:247" ht="7.9" customHeight="1" thickTop="1" x14ac:dyDescent="0.2">
      <c r="A57" s="55"/>
      <c r="D57" s="57"/>
      <c r="E57" s="60"/>
      <c r="F57" s="59"/>
      <c r="G57" s="57"/>
      <c r="H57" s="67"/>
      <c r="I57" s="67"/>
      <c r="J57" s="49"/>
      <c r="K57" s="50"/>
      <c r="L57" s="51"/>
    </row>
    <row r="58" spans="1:247" s="58" customFormat="1" ht="13.5" thickBot="1" x14ac:dyDescent="0.25">
      <c r="A58" s="68"/>
      <c r="B58" s="69"/>
      <c r="C58" s="69" t="s">
        <v>15</v>
      </c>
      <c r="D58" s="70">
        <f>IF(D21+D30+D39+D48=0," ",D21+D30+D39+D48)</f>
        <v>64642</v>
      </c>
      <c r="E58" s="71">
        <f>IF(E21+E30+E39+E48=0," ",E21+E30+E39+E48)</f>
        <v>11430</v>
      </c>
      <c r="F58" s="72">
        <f>IF(E58+D58=0," ",E58+D58)</f>
        <v>76072</v>
      </c>
      <c r="G58" s="70">
        <f>IF(G21+G30+G39+G48=0," ",G21+G30+G39+G48)</f>
        <v>66132</v>
      </c>
      <c r="H58" s="71">
        <f>IF(H21+H30+H39+H48=0," ",H21+H30+H39+H48)</f>
        <v>12235</v>
      </c>
      <c r="I58" s="72">
        <f>IF(H58+G58=0," ",H58+G58)</f>
        <v>78367</v>
      </c>
      <c r="J58" s="73">
        <f>IF((D58-G58)/G58=0," ",ROUND((D58-G58)/G58,4))</f>
        <v>-2.2499999999999999E-2</v>
      </c>
      <c r="K58" s="74">
        <f>IF((E58-H58)/H58=0," ",ROUND((E58-H58)/H58,4))</f>
        <v>-6.5799999999999997E-2</v>
      </c>
      <c r="L58" s="75">
        <f>IF((F58-I58)/I58=0," ",ROUND((F58-I58)/I58,4))</f>
        <v>-2.93E-2</v>
      </c>
    </row>
    <row r="59" spans="1:247" s="58" customFormat="1" ht="6.75" customHeight="1" x14ac:dyDescent="0.2">
      <c r="D59" s="60"/>
      <c r="E59" s="60"/>
      <c r="F59" s="60"/>
      <c r="G59" s="60"/>
      <c r="H59" s="60"/>
      <c r="I59" s="50"/>
      <c r="J59" s="50"/>
      <c r="K59" s="50"/>
    </row>
    <row r="60" spans="1:247" s="82" customFormat="1" ht="15" customHeight="1" x14ac:dyDescent="0.2">
      <c r="A60" s="81" t="s">
        <v>22</v>
      </c>
      <c r="D60" s="37"/>
      <c r="E60" s="37"/>
      <c r="F60" s="37"/>
      <c r="G60" s="37"/>
      <c r="H60" s="37"/>
      <c r="I60" s="83"/>
      <c r="J60" s="83"/>
      <c r="K60" s="83"/>
    </row>
    <row r="61" spans="1:247" s="87" customFormat="1" ht="15" customHeight="1" x14ac:dyDescent="0.2">
      <c r="A61" s="84"/>
      <c r="B61" s="85"/>
      <c r="C61" s="86" t="s">
        <v>23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14"/>
      <c r="S61" s="14"/>
      <c r="T61" s="14"/>
    </row>
    <row r="62" spans="1:247" s="87" customFormat="1" ht="15" customHeight="1" x14ac:dyDescent="0.2">
      <c r="A62" s="84"/>
      <c r="B62" s="85"/>
      <c r="C62" s="84" t="s">
        <v>24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14"/>
      <c r="S62" s="14"/>
      <c r="T62" s="14"/>
    </row>
    <row r="63" spans="1:247" s="92" customFormat="1" ht="15" customHeight="1" x14ac:dyDescent="0.2">
      <c r="A63" s="84"/>
      <c r="B63" s="85"/>
      <c r="C63" s="86" t="s">
        <v>25</v>
      </c>
      <c r="D63" s="88"/>
      <c r="E63" s="88"/>
      <c r="F63" s="88"/>
      <c r="G63" s="88"/>
      <c r="H63" s="88"/>
      <c r="I63" s="88"/>
      <c r="J63" s="89"/>
      <c r="K63" s="89"/>
      <c r="L63" s="89"/>
      <c r="M63" s="90"/>
      <c r="N63" s="90"/>
      <c r="O63" s="90"/>
      <c r="P63" s="90"/>
      <c r="Q63" s="90"/>
      <c r="R63" s="91"/>
      <c r="S63" s="91"/>
      <c r="T63" s="91"/>
    </row>
    <row r="64" spans="1:247" s="92" customFormat="1" ht="15" customHeight="1" x14ac:dyDescent="0.2">
      <c r="A64" s="84"/>
      <c r="B64" s="85"/>
      <c r="C64" s="84" t="s">
        <v>26</v>
      </c>
      <c r="D64" s="88"/>
      <c r="E64" s="88"/>
      <c r="F64" s="88"/>
      <c r="G64" s="88"/>
      <c r="H64" s="88"/>
      <c r="I64" s="88"/>
      <c r="J64" s="89"/>
      <c r="K64" s="89"/>
      <c r="L64" s="89"/>
      <c r="M64" s="90"/>
      <c r="N64" s="90"/>
      <c r="O64" s="90"/>
      <c r="P64" s="90"/>
      <c r="Q64" s="90"/>
      <c r="R64" s="91"/>
      <c r="S64" s="91"/>
      <c r="T64" s="91"/>
    </row>
    <row r="65" spans="1:20" s="87" customFormat="1" ht="15" customHeight="1" x14ac:dyDescent="0.2">
      <c r="A65" s="84"/>
      <c r="B65" s="84"/>
      <c r="C65" s="86" t="s">
        <v>27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14"/>
      <c r="S65" s="14"/>
      <c r="T65" s="14"/>
    </row>
    <row r="66" spans="1:20" s="87" customFormat="1" ht="15" customHeight="1" x14ac:dyDescent="0.2">
      <c r="A66" s="84"/>
      <c r="B66" s="84"/>
      <c r="C66" s="84" t="s">
        <v>28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14"/>
      <c r="S66" s="14"/>
      <c r="T66" s="14"/>
    </row>
    <row r="67" spans="1:20" x14ac:dyDescent="0.2">
      <c r="C67" s="93" t="s">
        <v>29</v>
      </c>
      <c r="D67" s="67"/>
      <c r="E67" s="67"/>
      <c r="F67" s="67"/>
      <c r="G67" s="67"/>
      <c r="H67" s="67"/>
      <c r="I67" s="67"/>
      <c r="J67" s="94"/>
      <c r="K67" s="94"/>
      <c r="L67" s="94"/>
    </row>
    <row r="68" spans="1:20" x14ac:dyDescent="0.2">
      <c r="D68" s="67"/>
      <c r="E68" s="67"/>
      <c r="F68" s="67"/>
      <c r="G68" s="67"/>
      <c r="H68" s="67"/>
      <c r="I68" s="94"/>
      <c r="J68" s="94"/>
      <c r="K68" s="94"/>
    </row>
    <row r="69" spans="1:20" x14ac:dyDescent="0.2">
      <c r="D69" s="67"/>
      <c r="E69" s="67"/>
      <c r="F69" s="67"/>
      <c r="G69" s="95"/>
      <c r="H69" s="96" t="s">
        <v>30</v>
      </c>
      <c r="I69" s="97">
        <f>I58-2444-1079-1358-407+2408+25+807+1463+409</f>
        <v>78191</v>
      </c>
      <c r="J69" s="98"/>
      <c r="K69" s="94"/>
    </row>
    <row r="70" spans="1:20" x14ac:dyDescent="0.2">
      <c r="G70" s="99"/>
      <c r="H70" s="100"/>
      <c r="I70" s="95"/>
      <c r="J70" s="101"/>
    </row>
    <row r="71" spans="1:20" x14ac:dyDescent="0.2">
      <c r="G71" s="99"/>
      <c r="H71" s="99"/>
      <c r="I71" s="95"/>
    </row>
  </sheetData>
  <mergeCells count="12">
    <mergeCell ref="A1:L1"/>
    <mergeCell ref="A3:L3"/>
    <mergeCell ref="E4:F4"/>
    <mergeCell ref="G4:H4"/>
    <mergeCell ref="E5:F5"/>
    <mergeCell ref="G5:L5"/>
    <mergeCell ref="E8:F8"/>
    <mergeCell ref="H8:I8"/>
    <mergeCell ref="D9:E9"/>
    <mergeCell ref="G9:H9"/>
    <mergeCell ref="E10:F10"/>
    <mergeCell ref="H10:I10"/>
  </mergeCells>
  <printOptions horizontalCentered="1"/>
  <pageMargins left="0.19" right="0.18" top="0.51" bottom="0.36" header="0.2" footer="0.19"/>
  <pageSetup scale="95" orientation="portrait" r:id="rId1"/>
  <headerFooter alignWithMargins="0">
    <oddFooter>&amp;L&amp;"Arial,Italic"&amp;8&amp;F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Company>Los Rios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w0000821</dc:creator>
  <cp:lastModifiedBy>Bradshaw, Jill</cp:lastModifiedBy>
  <cp:lastPrinted>2016-08-26T16:17:54Z</cp:lastPrinted>
  <dcterms:created xsi:type="dcterms:W3CDTF">2016-08-26T16:16:17Z</dcterms:created>
  <dcterms:modified xsi:type="dcterms:W3CDTF">2016-08-29T15:36:35Z</dcterms:modified>
</cp:coreProperties>
</file>